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koukujira2/Desktop/00現在進行中/01食文化・プレフューメ/11.WEB素材/語彙リスト/"/>
    </mc:Choice>
  </mc:AlternateContent>
  <xr:revisionPtr revIDLastSave="0" documentId="13_ncr:1_{269D0B7E-6166-E041-8712-7B957BC6352B}" xr6:coauthVersionLast="47" xr6:coauthVersionMax="47" xr10:uidLastSave="{00000000-0000-0000-0000-000000000000}"/>
  <bookViews>
    <workbookView xWindow="29380" yWindow="7840" windowWidth="33920" windowHeight="28340" activeTab="9" xr2:uid="{B15F960C-646B-8D48-B4E5-AD40819528CA}"/>
  </bookViews>
  <sheets>
    <sheet name="L1" sheetId="2" r:id="rId1"/>
    <sheet name="L2" sheetId="3" r:id="rId2"/>
    <sheet name="L3 " sheetId="12" r:id="rId3"/>
    <sheet name="L4 " sheetId="13" r:id="rId4"/>
    <sheet name="L5 " sheetId="14" r:id="rId5"/>
    <sheet name="L6 " sheetId="15" r:id="rId6"/>
    <sheet name="L7 " sheetId="16" r:id="rId7"/>
    <sheet name="L8 " sheetId="17" r:id="rId8"/>
    <sheet name="L9 " sheetId="18" r:id="rId9"/>
    <sheet name="L10 " sheetId="19" r:id="rId10"/>
  </sheets>
  <definedNames>
    <definedName name="_xlnm._FilterDatabase" localSheetId="0" hidden="1">'L1'!$A$1:$F$156</definedName>
    <definedName name="_xlnm._FilterDatabase" localSheetId="9" hidden="1">'L10 '!$A$1:$G$176</definedName>
    <definedName name="_xlnm._FilterDatabase" localSheetId="1" hidden="1">'L2'!$A$1:$F$177</definedName>
    <definedName name="_xlnm._FilterDatabase" localSheetId="2" hidden="1">'L3 '!$A$1:$G$171</definedName>
    <definedName name="_xlnm._FilterDatabase" localSheetId="3" hidden="1">'L4 '!$A$1:$H$173</definedName>
    <definedName name="_xlnm._FilterDatabase" localSheetId="4" hidden="1">'L5 '!$A$1:$G$164</definedName>
    <definedName name="_xlnm._FilterDatabase" localSheetId="5" hidden="1">'L6 '!$A$1:$J$163</definedName>
    <definedName name="_xlnm._FilterDatabase" localSheetId="6" hidden="1">'L7 '!$A$1:$J$154</definedName>
    <definedName name="_xlnm._FilterDatabase" localSheetId="7" hidden="1">'L8 '!$A$1:$H$165</definedName>
    <definedName name="_xlnm._FilterDatabase" localSheetId="8" hidden="1">'L9 '!$A$1:$H$143</definedName>
    <definedName name="_xlnm.Print_Area" localSheetId="0">'L1'!$A$1:$F$156</definedName>
    <definedName name="_xlnm.Print_Area" localSheetId="9">'L10 '!$A$1:$F$176</definedName>
    <definedName name="_xlnm.Print_Area" localSheetId="2">'L3 '!$A$1:$F$171</definedName>
    <definedName name="_xlnm.Print_Area" localSheetId="3">'L4 '!$A$1:$F$173</definedName>
    <definedName name="_xlnm.Print_Area" localSheetId="5">'L6 '!$A$1:$F$160</definedName>
    <definedName name="_xlnm.Print_Area" localSheetId="6">'L7 '!$A$1:$F$154</definedName>
    <definedName name="_xlnm.Print_Area" localSheetId="7">'L8 '!$A$1:$F$165</definedName>
    <definedName name="_xlnm.Print_Area" localSheetId="8">'L9 '!$A$1:$F$143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2" l="1"/>
  <c r="F47" i="2"/>
  <c r="F49" i="16"/>
  <c r="F119" i="17"/>
  <c r="F72" i="13"/>
  <c r="F2" i="19"/>
  <c r="F14" i="19"/>
  <c r="F19" i="19"/>
  <c r="F25" i="19"/>
  <c r="F26" i="19"/>
  <c r="F30" i="19"/>
  <c r="F40" i="19"/>
  <c r="F47" i="19"/>
  <c r="F51" i="19"/>
  <c r="F52" i="19"/>
  <c r="F55" i="19"/>
  <c r="F58" i="19"/>
  <c r="F60" i="19"/>
  <c r="F61" i="19"/>
  <c r="F69" i="19"/>
  <c r="F73" i="19"/>
  <c r="F74" i="19"/>
  <c r="F81" i="19"/>
  <c r="F82" i="19"/>
  <c r="F83" i="19"/>
  <c r="F84" i="19"/>
  <c r="F85" i="19"/>
  <c r="F86" i="19"/>
  <c r="F90" i="19"/>
  <c r="F96" i="19"/>
  <c r="F97" i="19"/>
  <c r="F100" i="19"/>
  <c r="F101" i="19"/>
  <c r="F103" i="19"/>
  <c r="F105" i="19"/>
  <c r="F107" i="19"/>
  <c r="F108" i="19"/>
  <c r="F109" i="19"/>
  <c r="F110" i="19"/>
  <c r="F113" i="19"/>
  <c r="F115" i="19"/>
  <c r="F117" i="19"/>
  <c r="F118" i="19"/>
  <c r="F119" i="19"/>
  <c r="F128" i="19"/>
  <c r="F131" i="19"/>
  <c r="F133" i="19"/>
  <c r="F134" i="19"/>
  <c r="F135" i="19"/>
  <c r="F136" i="19"/>
  <c r="F137" i="19"/>
  <c r="F138" i="19"/>
  <c r="F139" i="19"/>
  <c r="F141" i="19"/>
  <c r="F143" i="19"/>
  <c r="F145" i="19"/>
  <c r="F146" i="19"/>
  <c r="F147" i="19"/>
  <c r="F152" i="19"/>
  <c r="F153" i="19"/>
  <c r="F154" i="19"/>
  <c r="F155" i="19"/>
  <c r="F156" i="19"/>
  <c r="F158" i="19"/>
  <c r="F160" i="19"/>
  <c r="F162" i="19"/>
  <c r="F163" i="19"/>
  <c r="F166" i="19"/>
  <c r="F167" i="19"/>
  <c r="F171" i="19"/>
  <c r="F172" i="19"/>
  <c r="F118" i="18"/>
  <c r="F140" i="18"/>
  <c r="F139" i="18"/>
  <c r="F134" i="18"/>
  <c r="F132" i="18"/>
  <c r="F130" i="18"/>
  <c r="F129" i="18"/>
  <c r="F121" i="18"/>
  <c r="F115" i="18"/>
  <c r="F114" i="18"/>
  <c r="F113" i="18"/>
  <c r="F109" i="18"/>
  <c r="F106" i="18"/>
  <c r="F103" i="18"/>
  <c r="F100" i="18"/>
  <c r="F98" i="18"/>
  <c r="F96" i="18"/>
  <c r="F95" i="18"/>
  <c r="F93" i="18"/>
  <c r="F91" i="18"/>
  <c r="F89" i="18"/>
  <c r="F86" i="18"/>
  <c r="F83" i="18"/>
  <c r="F81" i="18"/>
  <c r="F80" i="18"/>
  <c r="F78" i="18"/>
  <c r="F77" i="18"/>
  <c r="F71" i="18"/>
  <c r="F70" i="18"/>
  <c r="F69" i="18"/>
  <c r="F68" i="18"/>
  <c r="F67" i="18"/>
  <c r="F66" i="18"/>
  <c r="F55" i="18"/>
  <c r="F53" i="18"/>
  <c r="F52" i="18"/>
  <c r="F50" i="18"/>
  <c r="F47" i="18"/>
  <c r="F45" i="18"/>
  <c r="F43" i="18"/>
  <c r="F40" i="18"/>
  <c r="F39" i="18"/>
  <c r="F34" i="18"/>
  <c r="F33" i="18"/>
  <c r="F32" i="18"/>
  <c r="F30" i="18"/>
  <c r="F27" i="18"/>
  <c r="F26" i="18"/>
  <c r="F21" i="18"/>
  <c r="F20" i="18"/>
  <c r="F19" i="18"/>
  <c r="F17" i="18"/>
  <c r="F16" i="18"/>
  <c r="F15" i="18"/>
  <c r="F12" i="18"/>
  <c r="F11" i="18"/>
  <c r="F9" i="18"/>
  <c r="F7" i="18"/>
  <c r="F6" i="18"/>
  <c r="F5" i="18"/>
  <c r="F4" i="18"/>
  <c r="F3" i="18"/>
  <c r="F2" i="18"/>
  <c r="F165" i="17"/>
  <c r="F164" i="17"/>
  <c r="F161" i="17"/>
  <c r="F160" i="17"/>
  <c r="F157" i="17"/>
  <c r="F152" i="17"/>
  <c r="F150" i="17"/>
  <c r="F149" i="17"/>
  <c r="F147" i="17"/>
  <c r="F145" i="17"/>
  <c r="F144" i="17"/>
  <c r="F143" i="17"/>
  <c r="F142" i="17"/>
  <c r="F140" i="17"/>
  <c r="F139" i="17"/>
  <c r="F136" i="17"/>
  <c r="F135" i="17"/>
  <c r="F134" i="17"/>
  <c r="F133" i="17"/>
  <c r="F130" i="17"/>
  <c r="F125" i="17"/>
  <c r="F124" i="17"/>
  <c r="F123" i="17"/>
  <c r="F122" i="17"/>
  <c r="F121" i="17"/>
  <c r="F117" i="17"/>
  <c r="F114" i="17"/>
  <c r="F111" i="17"/>
  <c r="F110" i="17"/>
  <c r="F109" i="17"/>
  <c r="F108" i="17"/>
  <c r="F107" i="17"/>
  <c r="F106" i="17"/>
  <c r="F104" i="17"/>
  <c r="F103" i="17"/>
  <c r="F100" i="17"/>
  <c r="F99" i="17"/>
  <c r="F95" i="17"/>
  <c r="F91" i="17"/>
  <c r="F84" i="17"/>
  <c r="F82" i="17"/>
  <c r="F81" i="17"/>
  <c r="F77" i="17"/>
  <c r="F76" i="17"/>
  <c r="F75" i="17"/>
  <c r="F74" i="17"/>
  <c r="F73" i="17"/>
  <c r="F71" i="17"/>
  <c r="F70" i="17"/>
  <c r="F68" i="17"/>
  <c r="F66" i="17"/>
  <c r="F59" i="17"/>
  <c r="F57" i="17"/>
  <c r="F53" i="17"/>
  <c r="F52" i="17"/>
  <c r="F48" i="17"/>
  <c r="F46" i="17"/>
  <c r="F45" i="17"/>
  <c r="F37" i="17"/>
  <c r="F36" i="17"/>
  <c r="F34" i="17"/>
  <c r="F33" i="17"/>
  <c r="F32" i="17"/>
  <c r="F28" i="17"/>
  <c r="F25" i="17"/>
  <c r="F20" i="17"/>
  <c r="F19" i="17"/>
  <c r="F18" i="17"/>
  <c r="F16" i="17"/>
  <c r="F15" i="17"/>
  <c r="F14" i="17"/>
  <c r="F12" i="17"/>
  <c r="F6" i="17"/>
  <c r="F4" i="17"/>
  <c r="F3" i="17"/>
  <c r="F154" i="16"/>
  <c r="F153" i="16"/>
  <c r="F148" i="16"/>
  <c r="F147" i="16"/>
  <c r="F146" i="16"/>
  <c r="F144" i="16"/>
  <c r="F143" i="16"/>
  <c r="F137" i="16"/>
  <c r="F136" i="16"/>
  <c r="F134" i="16"/>
  <c r="F133" i="16"/>
  <c r="F131" i="16"/>
  <c r="F130" i="16"/>
  <c r="F129" i="16"/>
  <c r="F127" i="16"/>
  <c r="F126" i="16"/>
  <c r="F125" i="16"/>
  <c r="F123" i="16"/>
  <c r="F122" i="16"/>
  <c r="F120" i="16"/>
  <c r="F119" i="16"/>
  <c r="F116" i="16"/>
  <c r="F115" i="16"/>
  <c r="F107" i="16"/>
  <c r="F103" i="16"/>
  <c r="F96" i="16"/>
  <c r="F95" i="16"/>
  <c r="F91" i="16"/>
  <c r="F89" i="16"/>
  <c r="F88" i="16"/>
  <c r="F86" i="16"/>
  <c r="F85" i="16"/>
  <c r="F84" i="16"/>
  <c r="F83" i="16"/>
  <c r="F80" i="16"/>
  <c r="F79" i="16"/>
  <c r="F71" i="16"/>
  <c r="F70" i="16"/>
  <c r="F68" i="16"/>
  <c r="F67" i="16"/>
  <c r="F64" i="16"/>
  <c r="F63" i="16"/>
  <c r="F61" i="16"/>
  <c r="F59" i="16"/>
  <c r="F56" i="16"/>
  <c r="F55" i="16"/>
  <c r="F53" i="16"/>
  <c r="F52" i="16"/>
  <c r="F51" i="16"/>
  <c r="F50" i="16"/>
  <c r="F48" i="16"/>
  <c r="F45" i="16"/>
  <c r="F42" i="16"/>
  <c r="F41" i="16"/>
  <c r="F36" i="16"/>
  <c r="F28" i="16"/>
  <c r="F26" i="16"/>
  <c r="F25" i="16"/>
  <c r="F15" i="16"/>
  <c r="F14" i="16"/>
  <c r="F12" i="16"/>
  <c r="F10" i="16"/>
  <c r="F8" i="16"/>
  <c r="F6" i="16"/>
  <c r="F2" i="16"/>
  <c r="F154" i="15"/>
  <c r="F152" i="15"/>
  <c r="F150" i="15"/>
  <c r="F146" i="15"/>
  <c r="F144" i="15"/>
  <c r="F142" i="15"/>
  <c r="F140" i="15"/>
  <c r="F139" i="15"/>
  <c r="F138" i="15"/>
  <c r="F137" i="15"/>
  <c r="F134" i="15"/>
  <c r="F128" i="15"/>
  <c r="F127" i="15"/>
  <c r="F126" i="15"/>
  <c r="F122" i="15"/>
  <c r="F120" i="15"/>
  <c r="F117" i="15"/>
  <c r="F114" i="15"/>
  <c r="F108" i="15"/>
  <c r="F104" i="15"/>
  <c r="F102" i="15"/>
  <c r="F95" i="15"/>
  <c r="F94" i="15"/>
  <c r="F92" i="15"/>
  <c r="F91" i="15"/>
  <c r="F86" i="15"/>
  <c r="F85" i="15"/>
  <c r="F84" i="15"/>
  <c r="F83" i="15"/>
  <c r="F82" i="15"/>
  <c r="F81" i="15"/>
  <c r="F78" i="15"/>
  <c r="F76" i="15"/>
  <c r="F74" i="15"/>
  <c r="F69" i="15"/>
  <c r="F66" i="15"/>
  <c r="F65" i="15"/>
  <c r="F62" i="15"/>
  <c r="F60" i="15"/>
  <c r="F59" i="15"/>
  <c r="F58" i="15"/>
  <c r="F53" i="15"/>
  <c r="F52" i="15"/>
  <c r="F50" i="15"/>
  <c r="F38" i="15"/>
  <c r="F28" i="15"/>
  <c r="F27" i="15"/>
  <c r="F26" i="15"/>
  <c r="F24" i="15"/>
  <c r="F20" i="15"/>
  <c r="F18" i="15"/>
  <c r="F8" i="15"/>
  <c r="F6" i="15"/>
  <c r="F5" i="15"/>
  <c r="F4" i="15"/>
  <c r="F3" i="15"/>
  <c r="F2" i="15"/>
  <c r="F152" i="14"/>
  <c r="F151" i="14"/>
  <c r="F147" i="14"/>
  <c r="F143" i="14"/>
  <c r="F139" i="14"/>
  <c r="F135" i="14"/>
  <c r="F134" i="14"/>
  <c r="F133" i="14"/>
  <c r="F131" i="14"/>
  <c r="F130" i="14"/>
  <c r="F127" i="14"/>
  <c r="F125" i="14"/>
  <c r="F123" i="14"/>
  <c r="F121" i="14"/>
  <c r="F119" i="14"/>
  <c r="F118" i="14"/>
  <c r="F115" i="14"/>
  <c r="F114" i="14"/>
  <c r="F111" i="14"/>
  <c r="F104" i="14"/>
  <c r="F100" i="14"/>
  <c r="F98" i="14"/>
  <c r="F97" i="14"/>
  <c r="F96" i="14"/>
  <c r="F93" i="14"/>
  <c r="F90" i="14"/>
  <c r="F88" i="14"/>
  <c r="F87" i="14"/>
  <c r="F86" i="14"/>
  <c r="F84" i="14"/>
  <c r="F83" i="14"/>
  <c r="F79" i="14"/>
  <c r="F78" i="14"/>
  <c r="F75" i="14"/>
  <c r="F72" i="14"/>
  <c r="F68" i="14"/>
  <c r="F66" i="14"/>
  <c r="F62" i="14"/>
  <c r="F61" i="14"/>
  <c r="F50" i="14"/>
  <c r="F48" i="14"/>
  <c r="F43" i="14"/>
  <c r="F39" i="14"/>
  <c r="F36" i="14"/>
  <c r="F34" i="14"/>
  <c r="F32" i="14"/>
  <c r="F31" i="14"/>
  <c r="F27" i="14"/>
  <c r="F26" i="14"/>
  <c r="F25" i="14"/>
  <c r="F33" i="14"/>
  <c r="F24" i="14"/>
  <c r="F17" i="14"/>
  <c r="F16" i="14"/>
  <c r="F13" i="14"/>
  <c r="F8" i="14"/>
  <c r="F4" i="14"/>
  <c r="F3" i="14"/>
  <c r="F167" i="13"/>
  <c r="F164" i="13"/>
  <c r="F163" i="13"/>
  <c r="F162" i="13"/>
  <c r="F161" i="13"/>
  <c r="F159" i="13"/>
  <c r="F155" i="13"/>
  <c r="F154" i="13"/>
  <c r="F153" i="13"/>
  <c r="F152" i="13"/>
  <c r="F150" i="13"/>
  <c r="F147" i="13"/>
  <c r="F145" i="13"/>
  <c r="F142" i="13"/>
  <c r="F137" i="13"/>
  <c r="F134" i="13"/>
  <c r="F131" i="13"/>
  <c r="F130" i="13"/>
  <c r="F129" i="13"/>
  <c r="F128" i="13"/>
  <c r="F126" i="13"/>
  <c r="F121" i="13"/>
  <c r="F118" i="13"/>
  <c r="F116" i="13"/>
  <c r="F115" i="13"/>
  <c r="F114" i="13"/>
  <c r="F113" i="13"/>
  <c r="F112" i="13"/>
  <c r="F109" i="13"/>
  <c r="F105" i="13"/>
  <c r="F104" i="13"/>
  <c r="F101" i="13"/>
  <c r="F100" i="13"/>
  <c r="F99" i="13"/>
  <c r="F97" i="13"/>
  <c r="F96" i="13"/>
  <c r="F94" i="13"/>
  <c r="F91" i="13"/>
  <c r="F89" i="13"/>
  <c r="F88" i="13"/>
  <c r="F86" i="13"/>
  <c r="F85" i="13"/>
  <c r="F84" i="13"/>
  <c r="F82" i="13"/>
  <c r="F80" i="13"/>
  <c r="F79" i="13"/>
  <c r="F76" i="13"/>
  <c r="F73" i="13"/>
  <c r="F68" i="13"/>
  <c r="F66" i="13"/>
  <c r="F57" i="13"/>
  <c r="F50" i="13"/>
  <c r="F49" i="13"/>
  <c r="F46" i="13"/>
  <c r="F44" i="13"/>
  <c r="F41" i="13"/>
  <c r="F39" i="13"/>
  <c r="F38" i="13"/>
  <c r="F34" i="13"/>
  <c r="F27" i="13"/>
  <c r="F16" i="13"/>
  <c r="F12" i="13"/>
  <c r="F10" i="13"/>
  <c r="F4" i="13"/>
  <c r="F171" i="12"/>
  <c r="F170" i="12"/>
  <c r="F169" i="12"/>
  <c r="F168" i="12"/>
  <c r="F167" i="12"/>
  <c r="F163" i="12"/>
  <c r="F160" i="12"/>
  <c r="F156" i="12"/>
  <c r="F155" i="12"/>
  <c r="F153" i="12"/>
  <c r="F147" i="12"/>
  <c r="F146" i="12"/>
  <c r="F141" i="12"/>
  <c r="F139" i="12"/>
  <c r="F133" i="12"/>
  <c r="F132" i="12"/>
  <c r="F130" i="12"/>
  <c r="F129" i="12"/>
  <c r="F128" i="12"/>
  <c r="F127" i="12"/>
  <c r="F125" i="12"/>
  <c r="F121" i="12"/>
  <c r="F120" i="12"/>
  <c r="F118" i="12"/>
  <c r="F116" i="12"/>
  <c r="F115" i="12"/>
  <c r="F113" i="12"/>
  <c r="F111" i="12"/>
  <c r="F101" i="12"/>
  <c r="F100" i="12"/>
  <c r="F97" i="12"/>
  <c r="F90" i="12"/>
  <c r="F88" i="12"/>
  <c r="F86" i="12"/>
  <c r="F84" i="12"/>
  <c r="F82" i="12"/>
  <c r="F79" i="12"/>
  <c r="F64" i="12"/>
  <c r="F61" i="12"/>
  <c r="F60" i="12"/>
  <c r="F55" i="12"/>
  <c r="F54" i="12"/>
  <c r="F52" i="12"/>
  <c r="F45" i="12"/>
  <c r="F43" i="12"/>
  <c r="F42" i="12"/>
  <c r="F36" i="12"/>
  <c r="F34" i="12"/>
  <c r="F33" i="12"/>
  <c r="F31" i="12"/>
  <c r="F30" i="12"/>
  <c r="F29" i="12"/>
  <c r="F28" i="12"/>
  <c r="F27" i="12"/>
  <c r="F25" i="12"/>
  <c r="F24" i="12"/>
  <c r="F19" i="12"/>
  <c r="F16" i="12"/>
  <c r="F15" i="12"/>
  <c r="F14" i="12"/>
  <c r="F12" i="12"/>
  <c r="F11" i="12"/>
  <c r="F9" i="12"/>
  <c r="F8" i="12"/>
  <c r="F6" i="12"/>
  <c r="F76" i="3"/>
  <c r="F153" i="3"/>
  <c r="F154" i="2"/>
  <c r="F153" i="2"/>
  <c r="F152" i="2"/>
  <c r="F148" i="2"/>
  <c r="F147" i="2"/>
  <c r="F144" i="2"/>
  <c r="F143" i="2"/>
  <c r="F141" i="2"/>
  <c r="F140" i="2"/>
  <c r="F137" i="2"/>
  <c r="F130" i="2"/>
  <c r="F127" i="2"/>
  <c r="F126" i="2"/>
  <c r="F124" i="2"/>
  <c r="F122" i="2"/>
  <c r="F118" i="2"/>
  <c r="F117" i="2"/>
  <c r="F107" i="2"/>
  <c r="F105" i="2"/>
  <c r="F103" i="2"/>
  <c r="F101" i="2"/>
  <c r="F94" i="2"/>
  <c r="F91" i="2"/>
  <c r="F90" i="2"/>
  <c r="F85" i="2"/>
  <c r="F84" i="2"/>
  <c r="F82" i="2"/>
  <c r="F76" i="2"/>
  <c r="F71" i="2"/>
  <c r="F70" i="2"/>
  <c r="F66" i="2"/>
  <c r="F59" i="2"/>
  <c r="F49" i="2"/>
  <c r="F43" i="2"/>
  <c r="F41" i="2"/>
  <c r="F35" i="2"/>
  <c r="F34" i="2"/>
  <c r="F27" i="2"/>
  <c r="F26" i="2"/>
  <c r="F22" i="2"/>
  <c r="F17" i="2"/>
  <c r="F16" i="2"/>
  <c r="F14" i="2"/>
  <c r="F13" i="2"/>
  <c r="F11" i="2"/>
  <c r="F10" i="2"/>
  <c r="F5" i="2"/>
  <c r="F4" i="2"/>
  <c r="F3" i="2"/>
  <c r="F42" i="3"/>
  <c r="F53" i="3"/>
  <c r="F140" i="3"/>
  <c r="F120" i="3"/>
  <c r="F166" i="3"/>
  <c r="F165" i="3"/>
  <c r="F149" i="3"/>
  <c r="F142" i="3"/>
  <c r="F136" i="3"/>
  <c r="F122" i="3"/>
  <c r="F119" i="3"/>
  <c r="F117" i="3"/>
  <c r="F110" i="3"/>
  <c r="F109" i="3"/>
  <c r="F97" i="3"/>
  <c r="F83" i="3"/>
  <c r="F70" i="3"/>
  <c r="F67" i="3"/>
  <c r="F66" i="3"/>
  <c r="F65" i="3"/>
  <c r="F60" i="3"/>
  <c r="F50" i="3"/>
  <c r="F44" i="3"/>
  <c r="F41" i="3"/>
  <c r="F39" i="3"/>
  <c r="F31" i="3"/>
  <c r="F22" i="3"/>
  <c r="F173" i="3"/>
  <c r="F169" i="3"/>
  <c r="F157" i="3"/>
  <c r="F155" i="3"/>
  <c r="F151" i="3"/>
  <c r="F139" i="3"/>
  <c r="F135" i="3"/>
  <c r="F134" i="3"/>
  <c r="F133" i="3"/>
  <c r="F126" i="3"/>
  <c r="F115" i="3"/>
  <c r="F106" i="3"/>
  <c r="F103" i="3"/>
  <c r="F94" i="3"/>
  <c r="F72" i="3"/>
  <c r="F59" i="3"/>
  <c r="F58" i="3"/>
  <c r="F54" i="3"/>
  <c r="F51" i="3"/>
  <c r="F46" i="3"/>
  <c r="F45" i="3"/>
  <c r="F40" i="3"/>
  <c r="F38" i="3"/>
  <c r="F32" i="3"/>
  <c r="F30" i="3"/>
  <c r="F28" i="3"/>
  <c r="F27" i="3"/>
  <c r="F25" i="3"/>
  <c r="F24" i="3"/>
  <c r="F23" i="3"/>
  <c r="F16" i="3"/>
  <c r="F15" i="3"/>
  <c r="F8" i="3"/>
  <c r="E22" i="12"/>
  <c r="E64" i="12"/>
  <c r="E173" i="3"/>
  <c r="E45" i="3"/>
  <c r="E56" i="3"/>
  <c r="E165" i="3"/>
  <c r="E51" i="3"/>
  <c r="E8" i="3"/>
  <c r="E77" i="3"/>
  <c r="E115" i="3"/>
  <c r="E83" i="3"/>
  <c r="E155" i="3"/>
  <c r="E21" i="3"/>
  <c r="E36" i="3"/>
  <c r="E99" i="3"/>
  <c r="E44" i="3"/>
  <c r="E40" i="3"/>
  <c r="E82" i="3"/>
  <c r="E42" i="3"/>
  <c r="E71" i="3"/>
  <c r="E72" i="3"/>
  <c r="E103" i="3"/>
  <c r="E163" i="3"/>
  <c r="E146" i="3"/>
  <c r="E4" i="3"/>
  <c r="E62" i="3"/>
  <c r="E34" i="3"/>
  <c r="E17" i="3"/>
  <c r="E98" i="3"/>
  <c r="E75" i="3"/>
  <c r="E11" i="3"/>
  <c r="E70" i="3"/>
  <c r="E46" i="3"/>
  <c r="E37" i="3"/>
  <c r="E16" i="3"/>
  <c r="E48" i="3"/>
  <c r="E9" i="3"/>
  <c r="E30" i="3"/>
  <c r="E28" i="3"/>
  <c r="E102" i="3"/>
  <c r="E3" i="3"/>
  <c r="E147" i="3"/>
  <c r="E153" i="3"/>
  <c r="E41" i="3"/>
  <c r="E15" i="3"/>
  <c r="E54" i="3"/>
  <c r="E107" i="3"/>
  <c r="E13" i="3"/>
  <c r="E66" i="3"/>
  <c r="E166" i="3"/>
  <c r="E31" i="3"/>
  <c r="E130" i="3"/>
  <c r="E139" i="3"/>
  <c r="E39" i="3"/>
  <c r="E73" i="3"/>
  <c r="E10" i="3"/>
  <c r="E157" i="3"/>
  <c r="E97" i="3"/>
  <c r="E86" i="3"/>
  <c r="E132" i="3"/>
  <c r="E145" i="3"/>
  <c r="E167" i="3"/>
  <c r="E80" i="3"/>
  <c r="E64" i="3"/>
  <c r="E27" i="3"/>
  <c r="E24" i="3"/>
  <c r="E32" i="3"/>
  <c r="E14" i="3"/>
  <c r="E142" i="3"/>
  <c r="E76" i="3"/>
  <c r="E126" i="3"/>
  <c r="E58" i="3"/>
  <c r="E94" i="3"/>
  <c r="E92" i="3"/>
  <c r="E67" i="3"/>
  <c r="E127" i="3"/>
  <c r="E154" i="2"/>
  <c r="E4" i="2"/>
  <c r="E41" i="2"/>
  <c r="E112" i="2"/>
  <c r="E28" i="2"/>
  <c r="E118" i="2"/>
  <c r="E24" i="2"/>
  <c r="E69" i="2"/>
  <c r="E42" i="2"/>
  <c r="E104" i="2"/>
  <c r="E71" i="2"/>
  <c r="E73" i="2"/>
  <c r="E49" i="2"/>
  <c r="E7" i="2"/>
  <c r="E3" i="2"/>
  <c r="E33" i="2"/>
  <c r="E117" i="2"/>
  <c r="E102" i="2"/>
  <c r="E38" i="2"/>
  <c r="E115" i="2"/>
  <c r="E27" i="2"/>
  <c r="E103" i="2"/>
  <c r="E152" i="2"/>
  <c r="E45" i="2"/>
  <c r="E55" i="2"/>
  <c r="E84" i="2"/>
  <c r="E76" i="2"/>
  <c r="E30" i="2"/>
  <c r="E147" i="2"/>
  <c r="E137" i="2"/>
  <c r="E48" i="2"/>
  <c r="E139" i="2"/>
  <c r="E87" i="2"/>
  <c r="E57" i="2"/>
  <c r="E6" i="2"/>
  <c r="E63" i="2"/>
  <c r="E146" i="2"/>
  <c r="E25" i="2"/>
  <c r="E122" i="2"/>
  <c r="E101" i="2"/>
  <c r="E44" i="2"/>
  <c r="E127" i="2"/>
  <c r="E39" i="2"/>
  <c r="E116" i="2"/>
  <c r="E2" i="2"/>
  <c r="E5" i="2"/>
  <c r="E43" i="2"/>
  <c r="E59" i="2"/>
  <c r="E11" i="2"/>
  <c r="E34" i="2"/>
  <c r="E70" i="2"/>
  <c r="E90" i="2"/>
  <c r="E83" i="2"/>
  <c r="E113" i="2"/>
  <c r="E23" i="2"/>
  <c r="E107" i="2"/>
  <c r="E75" i="2"/>
  <c r="E79" i="2"/>
  <c r="E143" i="2"/>
  <c r="E124" i="2"/>
  <c r="E31" i="2"/>
  <c r="E91" i="2"/>
  <c r="E35" i="2"/>
</calcChain>
</file>

<file path=xl/sharedStrings.xml><?xml version="1.0" encoding="utf-8"?>
<sst xmlns="http://schemas.openxmlformats.org/spreadsheetml/2006/main" count="7429" uniqueCount="3771">
  <si>
    <t>Lesson</t>
    <phoneticPr fontId="2"/>
  </si>
  <si>
    <t>Section</t>
    <phoneticPr fontId="2"/>
  </si>
  <si>
    <t>L1</t>
    <phoneticPr fontId="2"/>
  </si>
  <si>
    <t>テーマ</t>
    <phoneticPr fontId="2"/>
  </si>
  <si>
    <t>和食</t>
    <rPh sb="0" eb="2">
      <t xml:space="preserve">わしょく </t>
    </rPh>
    <phoneticPr fontId="2" type="Hiragana"/>
  </si>
  <si>
    <t>SEC1</t>
    <phoneticPr fontId="2"/>
  </si>
  <si>
    <t>Talk</t>
    <phoneticPr fontId="2"/>
  </si>
  <si>
    <t>地域</t>
    <rPh sb="0" eb="2">
      <t xml:space="preserve">ちいき </t>
    </rPh>
    <phoneticPr fontId="2" type="Hiragana"/>
  </si>
  <si>
    <t>SEC1</t>
  </si>
  <si>
    <t>主食</t>
    <rPh sb="0" eb="2">
      <t xml:space="preserve">しゅしょく </t>
    </rPh>
    <phoneticPr fontId="2" type="Hiragana"/>
  </si>
  <si>
    <t>例</t>
    <rPh sb="0" eb="1">
      <t xml:space="preserve">れい </t>
    </rPh>
    <phoneticPr fontId="2" type="Hiragana"/>
  </si>
  <si>
    <t>一汁三菜</t>
    <rPh sb="0" eb="4">
      <t xml:space="preserve">いちじゅうさんさい </t>
    </rPh>
    <phoneticPr fontId="2" type="Hiragana"/>
  </si>
  <si>
    <t>1</t>
    <phoneticPr fontId="2"/>
  </si>
  <si>
    <t>日本食</t>
    <phoneticPr fontId="2" type="Hiragana"/>
  </si>
  <si>
    <t xml:space="preserve">にほんしょく </t>
    <phoneticPr fontId="2" type="Hiragana"/>
  </si>
  <si>
    <t>ブーム</t>
    <phoneticPr fontId="2" type="Hiragana"/>
  </si>
  <si>
    <t>1</t>
  </si>
  <si>
    <t>海外</t>
    <rPh sb="0" eb="2">
      <t xml:space="preserve">かいがい </t>
    </rPh>
    <phoneticPr fontId="2" type="Hiragana"/>
  </si>
  <si>
    <t>2</t>
    <phoneticPr fontId="2"/>
  </si>
  <si>
    <t>様々（な）</t>
    <phoneticPr fontId="2" type="Hiragana"/>
  </si>
  <si>
    <t>さまざま（な）</t>
    <phoneticPr fontId="2" type="Hiragana"/>
  </si>
  <si>
    <t>3</t>
    <phoneticPr fontId="2"/>
  </si>
  <si>
    <t>ニューヨーク</t>
    <phoneticPr fontId="2" type="Hiragana"/>
  </si>
  <si>
    <t>4</t>
    <phoneticPr fontId="2"/>
  </si>
  <si>
    <t>焼き鳥</t>
    <rPh sb="0" eb="1">
      <t xml:space="preserve">やきとり </t>
    </rPh>
    <phoneticPr fontId="2" type="Hiragana"/>
  </si>
  <si>
    <t>やきとり</t>
    <phoneticPr fontId="2" type="Hiragana"/>
  </si>
  <si>
    <t>ラーメン</t>
    <phoneticPr fontId="2" type="Hiragana"/>
  </si>
  <si>
    <t>5</t>
    <phoneticPr fontId="2"/>
  </si>
  <si>
    <t>好み</t>
    <rPh sb="0" eb="1">
      <t xml:space="preserve">このみ </t>
    </rPh>
    <phoneticPr fontId="2" type="Hiragana"/>
  </si>
  <si>
    <t>このみ</t>
    <phoneticPr fontId="2" type="Hiragana"/>
  </si>
  <si>
    <t>6</t>
    <phoneticPr fontId="2"/>
  </si>
  <si>
    <t>食感</t>
    <rPh sb="0" eb="2">
      <t xml:space="preserve">しょっかん </t>
    </rPh>
    <phoneticPr fontId="2" type="Hiragana"/>
  </si>
  <si>
    <t>病みつき</t>
    <rPh sb="0" eb="1">
      <t>やみつき</t>
    </rPh>
    <phoneticPr fontId="2" type="Hiragana"/>
  </si>
  <si>
    <t>やみつき</t>
    <phoneticPr fontId="2" type="Hiragana"/>
  </si>
  <si>
    <t>8</t>
    <phoneticPr fontId="2"/>
  </si>
  <si>
    <t>ホームステイ</t>
    <phoneticPr fontId="2" type="Hiragana"/>
  </si>
  <si>
    <t>9</t>
    <phoneticPr fontId="2"/>
  </si>
  <si>
    <t>ホストファミリー</t>
    <phoneticPr fontId="2" type="Hiragana"/>
  </si>
  <si>
    <t>基本</t>
    <rPh sb="0" eb="2">
      <t xml:space="preserve">きほん </t>
    </rPh>
    <phoneticPr fontId="2" type="Hiragana"/>
  </si>
  <si>
    <t>10</t>
    <phoneticPr fontId="2"/>
  </si>
  <si>
    <t>汁物</t>
    <rPh sb="0" eb="2">
      <t xml:space="preserve">しるもの </t>
    </rPh>
    <phoneticPr fontId="2" type="Hiragana"/>
  </si>
  <si>
    <t>おかず</t>
    <phoneticPr fontId="2" type="Hiragana"/>
  </si>
  <si>
    <t>献立</t>
    <rPh sb="0" eb="2">
      <t xml:space="preserve">こんだて </t>
    </rPh>
    <phoneticPr fontId="2" type="Hiragana"/>
  </si>
  <si>
    <t>11</t>
    <phoneticPr fontId="2"/>
  </si>
  <si>
    <t>食卓</t>
    <rPh sb="0" eb="2">
      <t xml:space="preserve">しょくたく </t>
    </rPh>
    <phoneticPr fontId="2" type="Hiragana"/>
  </si>
  <si>
    <t>焼き魚</t>
    <phoneticPr fontId="2" type="Hiragana"/>
  </si>
  <si>
    <t>やきざかな</t>
    <phoneticPr fontId="2" type="Hiragana"/>
  </si>
  <si>
    <t>豆腐</t>
    <rPh sb="0" eb="2">
      <t xml:space="preserve">とうふ </t>
    </rPh>
    <phoneticPr fontId="2" type="Hiragana"/>
  </si>
  <si>
    <t>煮物</t>
    <rPh sb="0" eb="2">
      <t xml:space="preserve">にもの </t>
    </rPh>
    <phoneticPr fontId="2" type="Hiragana"/>
  </si>
  <si>
    <t>12</t>
    <phoneticPr fontId="2"/>
  </si>
  <si>
    <t>素朴</t>
    <rPh sb="0" eb="2">
      <t xml:space="preserve">そぼく </t>
    </rPh>
    <phoneticPr fontId="2" type="Hiragana"/>
  </si>
  <si>
    <t>栄養</t>
    <rPh sb="0" eb="2">
      <t xml:space="preserve">えいよう </t>
    </rPh>
    <phoneticPr fontId="2" type="Hiragana"/>
  </si>
  <si>
    <t>バランス</t>
    <phoneticPr fontId="2" type="Hiragana"/>
  </si>
  <si>
    <t>ヘルシー（な）</t>
    <phoneticPr fontId="2" type="Hiragana"/>
  </si>
  <si>
    <t>13</t>
    <phoneticPr fontId="2"/>
  </si>
  <si>
    <t>健康的（な）</t>
    <rPh sb="0" eb="3">
      <t xml:space="preserve">けんこうてきな </t>
    </rPh>
    <phoneticPr fontId="2" type="Hiragana"/>
  </si>
  <si>
    <t>けんこうてき（な）</t>
    <phoneticPr fontId="2" type="Hiragana"/>
  </si>
  <si>
    <t>より</t>
    <phoneticPr fontId="2" type="Hiragana"/>
  </si>
  <si>
    <t>14</t>
    <phoneticPr fontId="2"/>
  </si>
  <si>
    <t>世代</t>
    <rPh sb="0" eb="2">
      <t xml:space="preserve">せだい </t>
    </rPh>
    <phoneticPr fontId="2" type="Hiragana"/>
  </si>
  <si>
    <t>15</t>
    <phoneticPr fontId="2"/>
  </si>
  <si>
    <t>〜党</t>
    <rPh sb="1" eb="2">
      <t xml:space="preserve">とう </t>
    </rPh>
    <phoneticPr fontId="2" type="Hiragana"/>
  </si>
  <si>
    <t>けど</t>
    <phoneticPr fontId="2" type="Hiragana"/>
  </si>
  <si>
    <t>16</t>
    <phoneticPr fontId="2"/>
  </si>
  <si>
    <t>洋食</t>
    <rPh sb="0" eb="2">
      <t xml:space="preserve">ようしょく </t>
    </rPh>
    <phoneticPr fontId="2" type="Hiragana"/>
  </si>
  <si>
    <t>ほう</t>
    <phoneticPr fontId="2" type="Hiragana"/>
  </si>
  <si>
    <t>17</t>
    <phoneticPr fontId="2"/>
  </si>
  <si>
    <t>ポテト</t>
    <phoneticPr fontId="2" type="Hiragana"/>
  </si>
  <si>
    <t>18</t>
    <phoneticPr fontId="2"/>
  </si>
  <si>
    <t>漬物</t>
    <rPh sb="0" eb="2">
      <t xml:space="preserve">つけもの </t>
    </rPh>
    <phoneticPr fontId="2" type="Hiragana"/>
  </si>
  <si>
    <t>ハイブリッド（な）</t>
    <phoneticPr fontId="2" type="Hiragana"/>
  </si>
  <si>
    <t>組み合わせ</t>
    <rPh sb="0" eb="1">
      <t xml:space="preserve">くみあわせる </t>
    </rPh>
    <phoneticPr fontId="2" type="Hiragana"/>
  </si>
  <si>
    <t>くみあわせ</t>
    <phoneticPr fontId="2" type="Hiragana"/>
  </si>
  <si>
    <t>20</t>
    <phoneticPr fontId="2"/>
  </si>
  <si>
    <t>健康</t>
    <rPh sb="0" eb="1">
      <t xml:space="preserve">ケンコウ </t>
    </rPh>
    <phoneticPr fontId="2"/>
  </si>
  <si>
    <t>けんこう</t>
    <phoneticPr fontId="2" type="Hiragana"/>
  </si>
  <si>
    <t>22</t>
    <phoneticPr fontId="2"/>
  </si>
  <si>
    <t>SEC2</t>
    <phoneticPr fontId="2"/>
  </si>
  <si>
    <t>和食</t>
    <rPh sb="0" eb="1">
      <t xml:space="preserve">ワショク </t>
    </rPh>
    <phoneticPr fontId="2"/>
  </si>
  <si>
    <t xml:space="preserve">わしょく </t>
    <phoneticPr fontId="2"/>
  </si>
  <si>
    <t>食卓</t>
    <rPh sb="0" eb="2">
      <t xml:space="preserve">ショクタク </t>
    </rPh>
    <phoneticPr fontId="2"/>
  </si>
  <si>
    <t xml:space="preserve">しょくたく </t>
    <phoneticPr fontId="2"/>
  </si>
  <si>
    <t>姿</t>
    <rPh sb="0" eb="1">
      <t xml:space="preserve">すがた </t>
    </rPh>
    <phoneticPr fontId="2" type="Hiragana"/>
  </si>
  <si>
    <t>SEC2</t>
  </si>
  <si>
    <t>伝統的（な）</t>
    <rPh sb="0" eb="3">
      <t xml:space="preserve">でんとうてき </t>
    </rPh>
    <phoneticPr fontId="2" type="Hiragana"/>
  </si>
  <si>
    <t>選ぶ</t>
    <rPh sb="0" eb="1">
      <t xml:space="preserve">エラブ </t>
    </rPh>
    <phoneticPr fontId="2"/>
  </si>
  <si>
    <t>えらぶ</t>
    <phoneticPr fontId="2"/>
  </si>
  <si>
    <t>魅力</t>
    <rPh sb="0" eb="2">
      <t xml:space="preserve">みりょく </t>
    </rPh>
    <phoneticPr fontId="2" type="Hiragana"/>
  </si>
  <si>
    <t>キーワード</t>
    <phoneticPr fontId="2" type="Hiragana"/>
  </si>
  <si>
    <t>和食離れ</t>
    <rPh sb="0" eb="3">
      <t xml:space="preserve">ワショクバナレ </t>
    </rPh>
    <phoneticPr fontId="2"/>
  </si>
  <si>
    <t>わしょくばなれ</t>
    <phoneticPr fontId="2"/>
  </si>
  <si>
    <t>言葉</t>
    <rPh sb="0" eb="2">
      <t xml:space="preserve">ことば </t>
    </rPh>
    <phoneticPr fontId="2" type="Hiragana"/>
  </si>
  <si>
    <t>挙げる</t>
    <rPh sb="0" eb="1">
      <t xml:space="preserve">あげる </t>
    </rPh>
    <phoneticPr fontId="2" type="Hiragana"/>
  </si>
  <si>
    <t>あげる</t>
    <phoneticPr fontId="2" type="Hiragana"/>
  </si>
  <si>
    <t>農林水産省</t>
    <rPh sb="0" eb="4">
      <t xml:space="preserve">のうりんすいさん </t>
    </rPh>
    <rPh sb="4" eb="5">
      <t xml:space="preserve">しょう </t>
    </rPh>
    <phoneticPr fontId="2" type="Hiragana"/>
  </si>
  <si>
    <t>のうりんすいさんしょう</t>
    <phoneticPr fontId="2" type="Hiragana"/>
  </si>
  <si>
    <t>ヘルシー（な）</t>
    <phoneticPr fontId="2"/>
  </si>
  <si>
    <t>栄養バランス</t>
    <rPh sb="0" eb="2">
      <t xml:space="preserve">エイヨウバランス </t>
    </rPh>
    <phoneticPr fontId="2"/>
  </si>
  <si>
    <t>えいようばらんす</t>
    <phoneticPr fontId="2"/>
  </si>
  <si>
    <t>多様（な）</t>
    <rPh sb="0" eb="2">
      <t xml:space="preserve">たよう </t>
    </rPh>
    <phoneticPr fontId="2" type="Hiragana"/>
  </si>
  <si>
    <t>新鮮（な）</t>
    <rPh sb="0" eb="2">
      <t xml:space="preserve">しんせん </t>
    </rPh>
    <phoneticPr fontId="2" type="Hiragana"/>
  </si>
  <si>
    <t>3</t>
  </si>
  <si>
    <t>食材</t>
    <rPh sb="0" eb="2">
      <t xml:space="preserve">しょくざい </t>
    </rPh>
    <phoneticPr fontId="2" type="Hiragana"/>
  </si>
  <si>
    <t>食器</t>
    <rPh sb="0" eb="2">
      <t xml:space="preserve">しょっき </t>
    </rPh>
    <phoneticPr fontId="2" type="Hiragana"/>
  </si>
  <si>
    <t>自然</t>
    <rPh sb="0" eb="2">
      <t xml:space="preserve">しぜん </t>
    </rPh>
    <phoneticPr fontId="2" type="Hiragana"/>
  </si>
  <si>
    <t>変化</t>
    <rPh sb="0" eb="2">
      <t xml:space="preserve">へんか </t>
    </rPh>
    <phoneticPr fontId="2" type="Hiragana"/>
  </si>
  <si>
    <t>4</t>
  </si>
  <si>
    <t>楽しめる</t>
    <rPh sb="0" eb="1">
      <t xml:space="preserve">たのしめる </t>
    </rPh>
    <phoneticPr fontId="2" type="Hiragana"/>
  </si>
  <si>
    <t>たのしめる</t>
    <phoneticPr fontId="2" type="Hiragana"/>
  </si>
  <si>
    <t>伝統行事</t>
    <rPh sb="0" eb="2">
      <t xml:space="preserve">でんとう </t>
    </rPh>
    <rPh sb="2" eb="4">
      <t xml:space="preserve">ぎょうじ </t>
    </rPh>
    <phoneticPr fontId="2" type="Hiragana"/>
  </si>
  <si>
    <t>密接（な）</t>
    <rPh sb="0" eb="2">
      <t xml:space="preserve">みっせつ </t>
    </rPh>
    <phoneticPr fontId="2" type="Hiragana"/>
  </si>
  <si>
    <t>動物性脂肪分</t>
    <rPh sb="0" eb="3">
      <t xml:space="preserve">ドウブツセイ </t>
    </rPh>
    <phoneticPr fontId="2"/>
  </si>
  <si>
    <t>どうぶつせいしぼうぶん</t>
    <phoneticPr fontId="2"/>
  </si>
  <si>
    <t>魚介類</t>
    <rPh sb="0" eb="1">
      <t xml:space="preserve">さかなかいるい </t>
    </rPh>
    <rPh sb="1" eb="3">
      <t xml:space="preserve">かいるい </t>
    </rPh>
    <phoneticPr fontId="2" type="Hiragana"/>
  </si>
  <si>
    <t>ぎょかいるい</t>
    <phoneticPr fontId="2" type="Hiragana"/>
  </si>
  <si>
    <t>大豆</t>
    <rPh sb="0" eb="2">
      <t xml:space="preserve">だいず </t>
    </rPh>
    <phoneticPr fontId="2" type="Hiragana"/>
  </si>
  <si>
    <t>6</t>
  </si>
  <si>
    <t>中心</t>
    <rPh sb="0" eb="2">
      <t xml:space="preserve">ちゅうしん </t>
    </rPh>
    <phoneticPr fontId="2" type="Hiragana"/>
  </si>
  <si>
    <t>カロリー</t>
    <phoneticPr fontId="2" type="Hiragana"/>
  </si>
  <si>
    <t>納豆</t>
    <rPh sb="0" eb="2">
      <t xml:space="preserve">なっとう </t>
    </rPh>
    <phoneticPr fontId="2" type="Hiragana"/>
  </si>
  <si>
    <t>発酵食品</t>
  </si>
  <si>
    <t>8</t>
  </si>
  <si>
    <t>細長い</t>
    <rPh sb="0" eb="2">
      <t xml:space="preserve">ほそながい </t>
    </rPh>
    <phoneticPr fontId="2" type="Hiragana"/>
  </si>
  <si>
    <t>ほそながい</t>
    <phoneticPr fontId="2" type="Hiragana"/>
  </si>
  <si>
    <t>気候</t>
    <rPh sb="0" eb="2">
      <t xml:space="preserve">きこう </t>
    </rPh>
    <phoneticPr fontId="2" type="Hiragana"/>
  </si>
  <si>
    <t>地形</t>
    <rPh sb="0" eb="2">
      <t xml:space="preserve">ちけい </t>
    </rPh>
    <phoneticPr fontId="2" type="Hiragana"/>
  </si>
  <si>
    <t>食材</t>
    <phoneticPr fontId="2"/>
  </si>
  <si>
    <t xml:space="preserve">しょくざい </t>
    <phoneticPr fontId="2"/>
  </si>
  <si>
    <t>盛り付け</t>
    <rPh sb="0" eb="1">
      <t xml:space="preserve">もりつけ </t>
    </rPh>
    <phoneticPr fontId="2" type="Hiragana"/>
  </si>
  <si>
    <t>もりつけ</t>
    <phoneticPr fontId="2" type="Hiragana"/>
  </si>
  <si>
    <t>10</t>
  </si>
  <si>
    <t>お正月</t>
    <rPh sb="0" eb="1">
      <t>かず</t>
    </rPh>
    <phoneticPr fontId="2" type="Hiragana"/>
  </si>
  <si>
    <t>おしょうがつ</t>
    <phoneticPr fontId="2" type="Hiragana"/>
  </si>
  <si>
    <t>the New Year's holiday</t>
  </si>
  <si>
    <t>伝統的（な）</t>
    <rPh sb="0" eb="1">
      <t>わる]</t>
    </rPh>
    <phoneticPr fontId="2" type="Hiragana"/>
  </si>
  <si>
    <t>でんとうてき （な）</t>
    <phoneticPr fontId="2" type="Hiragana"/>
  </si>
  <si>
    <t>行事</t>
    <rPh sb="0" eb="2">
      <t xml:space="preserve">ギョウジ </t>
    </rPh>
    <phoneticPr fontId="2"/>
  </si>
  <si>
    <t>ぎょうじ</t>
    <phoneticPr fontId="2"/>
  </si>
  <si>
    <t>文化的（な）</t>
    <rPh sb="0" eb="3">
      <t xml:space="preserve">ブンカテキ </t>
    </rPh>
    <phoneticPr fontId="2"/>
  </si>
  <si>
    <t>ぶんかてき（な）</t>
    <phoneticPr fontId="2"/>
  </si>
  <si>
    <t>価値</t>
    <rPh sb="0" eb="2">
      <t xml:space="preserve">かち </t>
    </rPh>
    <phoneticPr fontId="2" type="Hiragana"/>
  </si>
  <si>
    <t>後世</t>
    <rPh sb="0" eb="2">
      <t xml:space="preserve">こうせい </t>
    </rPh>
    <phoneticPr fontId="2" type="Hiragana"/>
  </si>
  <si>
    <t>future generations</t>
  </si>
  <si>
    <t>ユネスコ</t>
    <phoneticPr fontId="2" type="Hiragana"/>
  </si>
  <si>
    <t>要因</t>
    <rPh sb="0" eb="2">
      <t xml:space="preserve">よういん </t>
    </rPh>
    <phoneticPr fontId="2" type="Hiragana"/>
  </si>
  <si>
    <t>家事</t>
    <rPh sb="0" eb="2">
      <t xml:space="preserve">カジ </t>
    </rPh>
    <phoneticPr fontId="2"/>
  </si>
  <si>
    <t>かじ</t>
    <phoneticPr fontId="2"/>
  </si>
  <si>
    <t>15</t>
  </si>
  <si>
    <t>効率化</t>
    <rPh sb="0" eb="2">
      <t xml:space="preserve">こうりつ </t>
    </rPh>
    <phoneticPr fontId="2" type="Hiragana"/>
  </si>
  <si>
    <t>こうりつか</t>
    <phoneticPr fontId="2"/>
  </si>
  <si>
    <t>挙げる</t>
    <phoneticPr fontId="2"/>
  </si>
  <si>
    <t>あげる</t>
    <phoneticPr fontId="2"/>
  </si>
  <si>
    <t>第二次世界大戦</t>
    <rPh sb="0" eb="1">
      <t>〜</t>
    </rPh>
    <phoneticPr fontId="2"/>
  </si>
  <si>
    <t>16</t>
  </si>
  <si>
    <t>後</t>
    <rPh sb="0" eb="1">
      <t xml:space="preserve">ご </t>
    </rPh>
    <phoneticPr fontId="2" type="Hiragana"/>
  </si>
  <si>
    <t>事情</t>
    <rPh sb="0" eb="2">
      <t xml:space="preserve">じじょう </t>
    </rPh>
    <phoneticPr fontId="2" type="Hiragana"/>
  </si>
  <si>
    <t>援助物資</t>
    <rPh sb="0" eb="2">
      <t xml:space="preserve">えんじょ </t>
    </rPh>
    <phoneticPr fontId="2" type="Hiragana"/>
  </si>
  <si>
    <t>給食</t>
    <rPh sb="0" eb="2">
      <t xml:space="preserve">きゅうしょく </t>
    </rPh>
    <phoneticPr fontId="2" type="Hiragana"/>
  </si>
  <si>
    <t>大量</t>
    <rPh sb="0" eb="2">
      <t xml:space="preserve">たいりょう </t>
    </rPh>
    <phoneticPr fontId="2" type="Hiragana"/>
  </si>
  <si>
    <t>小麦</t>
    <rPh sb="0" eb="2">
      <t xml:space="preserve">こむぎ </t>
    </rPh>
    <phoneticPr fontId="2" type="Hiragana"/>
  </si>
  <si>
    <t>17</t>
  </si>
  <si>
    <t>ミルク</t>
    <phoneticPr fontId="2" type="Hiragana"/>
  </si>
  <si>
    <t>パン食</t>
    <phoneticPr fontId="2"/>
  </si>
  <si>
    <t>ぱんしょく</t>
    <phoneticPr fontId="2"/>
  </si>
  <si>
    <t>コメ（米）</t>
    <rPh sb="3" eb="4">
      <t xml:space="preserve">こめ </t>
    </rPh>
    <phoneticPr fontId="2" type="Hiragana"/>
  </si>
  <si>
    <t>消費</t>
    <rPh sb="0" eb="2">
      <t xml:space="preserve">しょうひ </t>
    </rPh>
    <phoneticPr fontId="2" type="Hiragana"/>
  </si>
  <si>
    <t>乳製品</t>
    <rPh sb="0" eb="3">
      <t xml:space="preserve">にゅうせいひん </t>
    </rPh>
    <phoneticPr fontId="2" type="Hiragana"/>
  </si>
  <si>
    <t>加工食品</t>
  </si>
  <si>
    <t>かこうしょくひん</t>
    <phoneticPr fontId="2" type="Hiragana"/>
  </si>
  <si>
    <t>18</t>
  </si>
  <si>
    <t>摂取量</t>
    <rPh sb="0" eb="2">
      <t xml:space="preserve">せっしゅ </t>
    </rPh>
    <rPh sb="2" eb="3">
      <t xml:space="preserve">りょう </t>
    </rPh>
    <phoneticPr fontId="2" type="Hiragana"/>
  </si>
  <si>
    <t>せっしゅりょう</t>
    <phoneticPr fontId="2" type="Hiragana"/>
  </si>
  <si>
    <t>さらに</t>
    <phoneticPr fontId="2" type="Hiragana"/>
  </si>
  <si>
    <t>社会進出</t>
    <rPh sb="0" eb="2">
      <t xml:space="preserve">しんしゅつ </t>
    </rPh>
    <phoneticPr fontId="2" type="Hiragana"/>
  </si>
  <si>
    <t>しゃかいしんしゅつ</t>
    <phoneticPr fontId="2"/>
  </si>
  <si>
    <t>手間をかける</t>
    <rPh sb="0" eb="2">
      <t xml:space="preserve">てま </t>
    </rPh>
    <phoneticPr fontId="2" type="Hiragana"/>
  </si>
  <si>
    <t>てまをかける</t>
    <phoneticPr fontId="2"/>
  </si>
  <si>
    <t>人々</t>
    <rPh sb="0" eb="1">
      <t xml:space="preserve">ひとびと </t>
    </rPh>
    <phoneticPr fontId="2" type="Hiragana"/>
  </si>
  <si>
    <t>ひとびと</t>
    <phoneticPr fontId="2" type="Hiragana"/>
  </si>
  <si>
    <t>19</t>
    <phoneticPr fontId="2"/>
  </si>
  <si>
    <t>ワンプレート</t>
    <phoneticPr fontId="2" type="Hiragana"/>
  </si>
  <si>
    <t>洋風料理</t>
    <rPh sb="0" eb="1">
      <t>スープ</t>
    </rPh>
    <phoneticPr fontId="2"/>
  </si>
  <si>
    <t>ようふうりょうり</t>
    <phoneticPr fontId="2"/>
  </si>
  <si>
    <t>姿</t>
    <rPh sb="0" eb="1">
      <t xml:space="preserve">スガタ </t>
    </rPh>
    <phoneticPr fontId="2"/>
  </si>
  <si>
    <t>すがた</t>
    <phoneticPr fontId="2"/>
  </si>
  <si>
    <t>近年</t>
    <rPh sb="0" eb="2">
      <t xml:space="preserve">きんねん </t>
    </rPh>
    <phoneticPr fontId="2" type="Hiragana"/>
  </si>
  <si>
    <t>21</t>
    <phoneticPr fontId="2"/>
  </si>
  <si>
    <t>生活</t>
    <rPh sb="0" eb="2">
      <t xml:space="preserve">せいかつ </t>
    </rPh>
    <phoneticPr fontId="2" type="Hiragana"/>
  </si>
  <si>
    <t>21</t>
  </si>
  <si>
    <t>動き</t>
    <rPh sb="0" eb="1">
      <t xml:space="preserve">うごく </t>
    </rPh>
    <phoneticPr fontId="2" type="Hiragana"/>
  </si>
  <si>
    <t>うごき</t>
    <phoneticPr fontId="2" type="Hiragana"/>
  </si>
  <si>
    <t>動き</t>
    <rPh sb="0" eb="1">
      <t xml:space="preserve">ウゴキ </t>
    </rPh>
    <phoneticPr fontId="2"/>
  </si>
  <si>
    <t>レシピ</t>
    <phoneticPr fontId="2" type="Hiragana"/>
  </si>
  <si>
    <t>品数</t>
    <rPh sb="0" eb="2">
      <t xml:space="preserve">ひんすう </t>
    </rPh>
    <phoneticPr fontId="2" type="Hiragana"/>
  </si>
  <si>
    <t>23</t>
    <phoneticPr fontId="2"/>
  </si>
  <si>
    <t>中華</t>
    <rPh sb="0" eb="2">
      <t xml:space="preserve">ちゅうか </t>
    </rPh>
    <phoneticPr fontId="2" type="Hiragana"/>
  </si>
  <si>
    <t>エスニック</t>
    <phoneticPr fontId="2" type="Hiragana"/>
  </si>
  <si>
    <t>24</t>
    <phoneticPr fontId="2"/>
  </si>
  <si>
    <t>玉ねぎ</t>
    <rPh sb="0" eb="1">
      <t xml:space="preserve">たまねぎ </t>
    </rPh>
    <phoneticPr fontId="2" type="Hiragana"/>
  </si>
  <si>
    <t>たまねぎ</t>
    <phoneticPr fontId="2" type="Hiragana"/>
  </si>
  <si>
    <t>オリーブオイル</t>
    <phoneticPr fontId="2" type="Hiragana"/>
  </si>
  <si>
    <t>納豆</t>
    <rPh sb="0" eb="2">
      <t xml:space="preserve">ナットウ </t>
    </rPh>
    <phoneticPr fontId="2"/>
  </si>
  <si>
    <t>なっとう</t>
    <phoneticPr fontId="2"/>
  </si>
  <si>
    <t>スパゲッティ</t>
    <phoneticPr fontId="2" type="Hiragana"/>
  </si>
  <si>
    <t>25</t>
    <phoneticPr fontId="2"/>
  </si>
  <si>
    <t>トースト</t>
    <phoneticPr fontId="2" type="Hiragana"/>
  </si>
  <si>
    <t>シンボル</t>
    <phoneticPr fontId="2" type="Hiragana"/>
  </si>
  <si>
    <t>26</t>
    <phoneticPr fontId="2"/>
  </si>
  <si>
    <t>L2</t>
    <phoneticPr fontId="2"/>
  </si>
  <si>
    <t>タイトル</t>
    <phoneticPr fontId="2"/>
  </si>
  <si>
    <t>食</t>
    <rPh sb="0" eb="1">
      <t xml:space="preserve">ショク </t>
    </rPh>
    <phoneticPr fontId="2"/>
  </si>
  <si>
    <t>しょく</t>
    <phoneticPr fontId="2"/>
  </si>
  <si>
    <t>活性化</t>
    <rPh sb="0" eb="3">
      <t xml:space="preserve">かっせいか </t>
    </rPh>
    <phoneticPr fontId="2" type="Hiragana"/>
  </si>
  <si>
    <t>多様性</t>
    <rPh sb="0" eb="1">
      <t xml:space="preserve">たよう </t>
    </rPh>
    <rPh sb="2" eb="3">
      <t xml:space="preserve">せい </t>
    </rPh>
    <phoneticPr fontId="2" type="Hiragana"/>
  </si>
  <si>
    <t>たようせい</t>
    <phoneticPr fontId="2" type="Hiragana"/>
  </si>
  <si>
    <t>地域名</t>
    <rPh sb="0" eb="2">
      <t xml:space="preserve">ちいき </t>
    </rPh>
    <rPh sb="2" eb="3">
      <t xml:space="preserve">めい </t>
    </rPh>
    <phoneticPr fontId="2" type="Hiragana"/>
  </si>
  <si>
    <t>ちいきめい</t>
    <phoneticPr fontId="2" type="Hiragana"/>
  </si>
  <si>
    <t>北海道</t>
    <rPh sb="0" eb="3">
      <t xml:space="preserve">ほっかいどう </t>
    </rPh>
    <phoneticPr fontId="2" type="Hiragana"/>
  </si>
  <si>
    <t>沖縄</t>
    <rPh sb="0" eb="2">
      <t xml:space="preserve">おきなわ </t>
    </rPh>
    <phoneticPr fontId="2" type="Hiragana"/>
  </si>
  <si>
    <t>Okinawa</t>
  </si>
  <si>
    <t>東北</t>
    <rPh sb="0" eb="2">
      <t xml:space="preserve">とうほく </t>
    </rPh>
    <phoneticPr fontId="2" type="Hiragana"/>
  </si>
  <si>
    <t>中部</t>
    <rPh sb="0" eb="2">
      <t xml:space="preserve">ちゅうぶ </t>
    </rPh>
    <phoneticPr fontId="2" type="Hiragana"/>
  </si>
  <si>
    <t>関東</t>
    <rPh sb="0" eb="1">
      <t xml:space="preserve">かんとう </t>
    </rPh>
    <phoneticPr fontId="2" type="Hiragana"/>
  </si>
  <si>
    <t>かんとう</t>
    <phoneticPr fontId="2" type="Hiragana"/>
  </si>
  <si>
    <t>中国</t>
    <rPh sb="0" eb="2">
      <t xml:space="preserve">ちゅうごく </t>
    </rPh>
    <phoneticPr fontId="2" type="Hiragana"/>
  </si>
  <si>
    <t>近畿</t>
    <rPh sb="0" eb="2">
      <t xml:space="preserve">きんき </t>
    </rPh>
    <phoneticPr fontId="2" type="Hiragana"/>
  </si>
  <si>
    <t>九州</t>
    <rPh sb="0" eb="2">
      <t xml:space="preserve">きゅうしゅう </t>
    </rPh>
    <phoneticPr fontId="2" type="Hiragana"/>
  </si>
  <si>
    <t>四国</t>
    <rPh sb="0" eb="2">
      <t xml:space="preserve">しこく </t>
    </rPh>
    <phoneticPr fontId="2" type="Hiragana"/>
  </si>
  <si>
    <t>細長い</t>
    <rPh sb="0" eb="1">
      <t xml:space="preserve">ほそながい </t>
    </rPh>
    <phoneticPr fontId="2" type="Hiragana"/>
  </si>
  <si>
    <t>国土</t>
    <rPh sb="0" eb="2">
      <t xml:space="preserve">こくど </t>
    </rPh>
    <phoneticPr fontId="2" type="Hiragana"/>
  </si>
  <si>
    <t>様々</t>
    <rPh sb="0" eb="1">
      <t xml:space="preserve">さまざま </t>
    </rPh>
    <phoneticPr fontId="2" type="Hiragana"/>
  </si>
  <si>
    <t>さまざま</t>
    <phoneticPr fontId="2" type="Hiragana"/>
  </si>
  <si>
    <t>気候</t>
    <rPh sb="0" eb="1">
      <t xml:space="preserve">きこう </t>
    </rPh>
    <phoneticPr fontId="2" type="Hiragana"/>
  </si>
  <si>
    <t>きこう</t>
    <phoneticPr fontId="2"/>
  </si>
  <si>
    <t>印象</t>
    <rPh sb="0" eb="2">
      <t xml:space="preserve">いんしょう </t>
    </rPh>
    <phoneticPr fontId="2" type="Hiragana"/>
  </si>
  <si>
    <t>海鮮</t>
    <rPh sb="0" eb="2">
      <t xml:space="preserve">かいせん </t>
    </rPh>
    <phoneticPr fontId="2" type="Hiragana"/>
  </si>
  <si>
    <t>思う存分</t>
    <rPh sb="0" eb="1">
      <t xml:space="preserve">おもうぞんぶん </t>
    </rPh>
    <phoneticPr fontId="2" type="Hiragana"/>
  </si>
  <si>
    <t>おもうぞんぶん</t>
    <phoneticPr fontId="2"/>
  </si>
  <si>
    <t>7</t>
    <phoneticPr fontId="2"/>
  </si>
  <si>
    <t>イクラ</t>
    <phoneticPr fontId="2" type="Hiragana"/>
  </si>
  <si>
    <t>7</t>
  </si>
  <si>
    <t>ウニ</t>
    <phoneticPr fontId="2" type="Hiragana"/>
  </si>
  <si>
    <t>カニ</t>
    <phoneticPr fontId="2" type="Hiragana"/>
  </si>
  <si>
    <t>石狩鍋</t>
    <rPh sb="0" eb="3">
      <t xml:space="preserve">いしかりなべ </t>
    </rPh>
    <phoneticPr fontId="2" type="Hiragana"/>
  </si>
  <si>
    <t>暖かい</t>
    <rPh sb="0" eb="1">
      <t xml:space="preserve">あたたかい </t>
    </rPh>
    <phoneticPr fontId="2" type="Hiragana"/>
  </si>
  <si>
    <t>あたたかい</t>
    <phoneticPr fontId="2"/>
  </si>
  <si>
    <t>名産品</t>
    <rPh sb="0" eb="3">
      <t xml:space="preserve">めいさんひん </t>
    </rPh>
    <phoneticPr fontId="2" type="Hiragana"/>
  </si>
  <si>
    <t>鮭</t>
    <rPh sb="0" eb="1">
      <t xml:space="preserve">さけ </t>
    </rPh>
    <phoneticPr fontId="2" type="Hiragana"/>
  </si>
  <si>
    <t>春休み</t>
    <rPh sb="0" eb="2">
      <t xml:space="preserve">はるやすみ </t>
    </rPh>
    <phoneticPr fontId="2" type="Hiragana"/>
  </si>
  <si>
    <t>はるやすみ</t>
    <phoneticPr fontId="2"/>
  </si>
  <si>
    <t>グルメ</t>
    <phoneticPr fontId="2" type="Hiragana"/>
  </si>
  <si>
    <t>11</t>
  </si>
  <si>
    <t>大阪</t>
    <rPh sb="0" eb="2">
      <t xml:space="preserve">おおさか </t>
    </rPh>
    <phoneticPr fontId="2" type="Hiragana"/>
  </si>
  <si>
    <t>商業</t>
    <rPh sb="0" eb="2">
      <t xml:space="preserve">しょうぎょう </t>
    </rPh>
    <phoneticPr fontId="2" type="Hiragana"/>
  </si>
  <si>
    <t>中心地</t>
    <rPh sb="0" eb="3">
      <t xml:space="preserve">ちゅうしんち </t>
    </rPh>
    <phoneticPr fontId="2" type="Hiragana"/>
  </si>
  <si>
    <t>天下の台所</t>
    <rPh sb="0" eb="2">
      <t xml:space="preserve">てんか </t>
    </rPh>
    <rPh sb="3" eb="5">
      <t xml:space="preserve">だいどころ </t>
    </rPh>
    <phoneticPr fontId="2" type="Hiragana"/>
  </si>
  <si>
    <t>てんかのだいどころ</t>
    <phoneticPr fontId="2"/>
  </si>
  <si>
    <t>12</t>
  </si>
  <si>
    <t>全国</t>
    <rPh sb="0" eb="2">
      <t xml:space="preserve">ぜんこく </t>
    </rPh>
    <phoneticPr fontId="2" type="Hiragana"/>
  </si>
  <si>
    <t>流通</t>
    <rPh sb="0" eb="2">
      <t xml:space="preserve">りゅうつう </t>
    </rPh>
    <phoneticPr fontId="2" type="Hiragana"/>
  </si>
  <si>
    <t>日本一</t>
    <rPh sb="0" eb="3">
      <t xml:space="preserve">にほんいち </t>
    </rPh>
    <phoneticPr fontId="2" type="Hiragana"/>
  </si>
  <si>
    <t>お好み焼き</t>
    <rPh sb="0" eb="1">
      <t>かず</t>
    </rPh>
    <phoneticPr fontId="2" type="Hiragana"/>
  </si>
  <si>
    <t>おこのみやき</t>
    <phoneticPr fontId="2"/>
  </si>
  <si>
    <t>地元</t>
    <rPh sb="0" eb="2">
      <t xml:space="preserve">じもと </t>
    </rPh>
    <phoneticPr fontId="2" type="Hiragana"/>
  </si>
  <si>
    <t>長野</t>
    <rPh sb="0" eb="2">
      <t xml:space="preserve">ながの </t>
    </rPh>
    <phoneticPr fontId="2" type="Hiragana"/>
  </si>
  <si>
    <t>高原</t>
    <rPh sb="0" eb="1">
      <t xml:space="preserve">たかい </t>
    </rPh>
    <rPh sb="1" eb="2">
      <t xml:space="preserve">はら </t>
    </rPh>
    <phoneticPr fontId="2" type="Hiragana"/>
  </si>
  <si>
    <t>こうげん</t>
    <phoneticPr fontId="2"/>
  </si>
  <si>
    <t>ソバ</t>
    <phoneticPr fontId="2" type="Hiragana"/>
  </si>
  <si>
    <t>まるで</t>
    <phoneticPr fontId="2" type="Hiragana"/>
  </si>
  <si>
    <t>ヨーロッパ</t>
    <phoneticPr fontId="2" type="Hiragana"/>
  </si>
  <si>
    <t>作り</t>
    <rPh sb="0" eb="1">
      <t xml:space="preserve">つくり </t>
    </rPh>
    <phoneticPr fontId="2" type="Hiragana"/>
  </si>
  <si>
    <t>づくり</t>
    <phoneticPr fontId="2"/>
  </si>
  <si>
    <t>最適</t>
    <rPh sb="0" eb="2">
      <t xml:space="preserve">さいてき </t>
    </rPh>
    <phoneticPr fontId="2" type="Hiragana"/>
  </si>
  <si>
    <t>19</t>
  </si>
  <si>
    <t>山々</t>
    <rPh sb="0" eb="1">
      <t xml:space="preserve">やまやま </t>
    </rPh>
    <phoneticPr fontId="2" type="Hiragana"/>
  </si>
  <si>
    <t>やまやま</t>
    <phoneticPr fontId="2"/>
  </si>
  <si>
    <t>格別</t>
    <rPh sb="0" eb="2">
      <t xml:space="preserve">かくべつ </t>
    </rPh>
    <phoneticPr fontId="2" type="Hiragana"/>
  </si>
  <si>
    <t>紅葉</t>
    <rPh sb="0" eb="2">
      <t xml:space="preserve">もみじ </t>
    </rPh>
    <phoneticPr fontId="2" type="Hiragana"/>
  </si>
  <si>
    <t>目的</t>
    <rPh sb="0" eb="2">
      <t xml:space="preserve">もくてき </t>
    </rPh>
    <phoneticPr fontId="2" type="Hiragana"/>
  </si>
  <si>
    <t>20</t>
  </si>
  <si>
    <t>長崎</t>
    <rPh sb="0" eb="2">
      <t xml:space="preserve">ながさき </t>
    </rPh>
    <phoneticPr fontId="2" type="Hiragana"/>
  </si>
  <si>
    <t>出島</t>
    <rPh sb="0" eb="1">
      <t>す</t>
    </rPh>
    <phoneticPr fontId="2" type="Hiragana"/>
  </si>
  <si>
    <t>でじま</t>
    <phoneticPr fontId="2"/>
  </si>
  <si>
    <t>そこ</t>
    <phoneticPr fontId="2" type="Hiragana"/>
  </si>
  <si>
    <t>接点</t>
    <rPh sb="0" eb="2">
      <t xml:space="preserve">せってん </t>
    </rPh>
    <phoneticPr fontId="2" type="Hiragana"/>
  </si>
  <si>
    <t>影響</t>
    <rPh sb="0" eb="2">
      <t xml:space="preserve">えいきょう </t>
    </rPh>
    <phoneticPr fontId="2" type="Hiragana"/>
  </si>
  <si>
    <t>22</t>
  </si>
  <si>
    <t>中国</t>
    <rPh sb="0" eb="2">
      <t xml:space="preserve">チュウゴク </t>
    </rPh>
    <phoneticPr fontId="2"/>
  </si>
  <si>
    <t xml:space="preserve">ちゅうごく </t>
    <phoneticPr fontId="2"/>
  </si>
  <si>
    <t>China</t>
    <phoneticPr fontId="2"/>
  </si>
  <si>
    <t>由来</t>
    <rPh sb="0" eb="2">
      <t xml:space="preserve">ゆらい </t>
    </rPh>
    <phoneticPr fontId="2" type="Hiragana"/>
  </si>
  <si>
    <t>餃子</t>
    <rPh sb="0" eb="2">
      <t xml:space="preserve">ぎょうざ </t>
    </rPh>
    <phoneticPr fontId="2" type="Hiragana"/>
  </si>
  <si>
    <t>ちゃんぽん</t>
    <phoneticPr fontId="2" type="Hiragana"/>
  </si>
  <si>
    <t>うどん</t>
    <phoneticPr fontId="2"/>
  </si>
  <si>
    <t>一番</t>
    <rPh sb="0" eb="1">
      <t xml:space="preserve">いちばん </t>
    </rPh>
    <phoneticPr fontId="2" type="Hiragana"/>
  </si>
  <si>
    <t>いちばん</t>
    <phoneticPr fontId="2"/>
  </si>
  <si>
    <t>23</t>
  </si>
  <si>
    <t>カステラ</t>
    <phoneticPr fontId="2" type="Hiragana"/>
  </si>
  <si>
    <t>お菓子</t>
    <rPh sb="0" eb="1">
      <t xml:space="preserve">おかし </t>
    </rPh>
    <phoneticPr fontId="2" type="Hiragana"/>
  </si>
  <si>
    <t>おかし</t>
    <phoneticPr fontId="2"/>
  </si>
  <si>
    <t>しっとりする</t>
    <phoneticPr fontId="2" type="Hiragana"/>
  </si>
  <si>
    <t>上品（な）</t>
    <rPh sb="0" eb="2">
      <t xml:space="preserve">じょうひん </t>
    </rPh>
    <phoneticPr fontId="2" type="Hiragana"/>
  </si>
  <si>
    <t>各地</t>
    <rPh sb="0" eb="2">
      <t xml:space="preserve">かくち </t>
    </rPh>
    <phoneticPr fontId="2" type="Hiragana"/>
  </si>
  <si>
    <t>かくち</t>
    <phoneticPr fontId="2"/>
  </si>
  <si>
    <t>24</t>
  </si>
  <si>
    <t>による</t>
    <phoneticPr fontId="2" type="Hiragana"/>
  </si>
  <si>
    <t>町おこし</t>
    <rPh sb="0" eb="1">
      <t xml:space="preserve">まち </t>
    </rPh>
    <rPh sb="1" eb="2">
      <t>おこし</t>
    </rPh>
    <phoneticPr fontId="2" type="Hiragana"/>
  </si>
  <si>
    <t>町おこし</t>
    <rPh sb="0" eb="1">
      <t xml:space="preserve">マチ </t>
    </rPh>
    <phoneticPr fontId="2"/>
  </si>
  <si>
    <t>出身地域</t>
    <rPh sb="0" eb="2">
      <t xml:space="preserve">しゅっしん ちいき </t>
    </rPh>
    <phoneticPr fontId="2" type="Hiragana"/>
  </si>
  <si>
    <t>しゅっしんちいき</t>
    <phoneticPr fontId="2"/>
  </si>
  <si>
    <t>観光客</t>
    <rPh sb="0" eb="2">
      <t xml:space="preserve">かんこう </t>
    </rPh>
    <rPh sb="2" eb="3">
      <t xml:space="preserve">きゃく </t>
    </rPh>
    <phoneticPr fontId="2" type="Hiragana"/>
  </si>
  <si>
    <t>メリット</t>
    <phoneticPr fontId="2" type="Hiragana"/>
  </si>
  <si>
    <t>フード・ツーリズム</t>
    <phoneticPr fontId="2" type="Hiragana"/>
  </si>
  <si>
    <t>都市</t>
    <rPh sb="0" eb="2">
      <t xml:space="preserve">とし </t>
    </rPh>
    <phoneticPr fontId="2" type="Hiragana"/>
  </si>
  <si>
    <t>少子高齢化</t>
    <rPh sb="0" eb="5">
      <t xml:space="preserve">しょうしこうれいか </t>
    </rPh>
    <phoneticPr fontId="2" type="Hiragana"/>
  </si>
  <si>
    <t>経済</t>
    <rPh sb="0" eb="2">
      <t xml:space="preserve">けいざい </t>
    </rPh>
    <phoneticPr fontId="2" type="Hiragana"/>
  </si>
  <si>
    <t>活気</t>
    <rPh sb="0" eb="1">
      <t xml:space="preserve">かっき </t>
    </rPh>
    <phoneticPr fontId="2" type="Hiragana"/>
  </si>
  <si>
    <t>かっき</t>
    <phoneticPr fontId="2"/>
  </si>
  <si>
    <t>つつある</t>
    <phoneticPr fontId="2" type="Hiragana"/>
  </si>
  <si>
    <t>様々（な）</t>
    <rPh sb="0" eb="1">
      <t xml:space="preserve">さまざま </t>
    </rPh>
    <phoneticPr fontId="2" type="Hiragana"/>
  </si>
  <si>
    <t>さまざま（な）</t>
    <phoneticPr fontId="2"/>
  </si>
  <si>
    <t>一環</t>
    <rPh sb="0" eb="2">
      <t xml:space="preserve">いっかん </t>
    </rPh>
    <phoneticPr fontId="2" type="Hiragana"/>
  </si>
  <si>
    <t>目的</t>
    <rPh sb="0" eb="1">
      <t xml:space="preserve">もくてき </t>
    </rPh>
    <phoneticPr fontId="2" type="Hiragana"/>
  </si>
  <si>
    <t xml:space="preserve">もくてき </t>
    <phoneticPr fontId="2"/>
  </si>
  <si>
    <t>目当て</t>
    <rPh sb="0" eb="1">
      <t xml:space="preserve">めあて </t>
    </rPh>
    <phoneticPr fontId="2" type="Hiragana"/>
  </si>
  <si>
    <t>めあて</t>
    <phoneticPr fontId="2"/>
  </si>
  <si>
    <t>活性化</t>
    <rPh sb="0" eb="3">
      <t xml:space="preserve">カッセイカ </t>
    </rPh>
    <phoneticPr fontId="2"/>
  </si>
  <si>
    <t xml:space="preserve">かっせいか </t>
    <phoneticPr fontId="2"/>
  </si>
  <si>
    <t>讃岐うどん</t>
    <rPh sb="0" eb="2">
      <t>さぬきう</t>
    </rPh>
    <phoneticPr fontId="2" type="Hiragana"/>
  </si>
  <si>
    <t>さぬきうどん</t>
    <phoneticPr fontId="2"/>
  </si>
  <si>
    <t>四国</t>
    <rPh sb="0" eb="2">
      <t xml:space="preserve">シコク </t>
    </rPh>
    <phoneticPr fontId="2"/>
  </si>
  <si>
    <t>しこく</t>
    <phoneticPr fontId="2"/>
  </si>
  <si>
    <t>香川</t>
    <rPh sb="0" eb="2">
      <t xml:space="preserve">かがわ </t>
    </rPh>
    <phoneticPr fontId="2" type="Hiragana"/>
  </si>
  <si>
    <t>食べ歩き</t>
    <rPh sb="0" eb="1">
      <t xml:space="preserve">たべ </t>
    </rPh>
    <rPh sb="2" eb="3">
      <t xml:space="preserve">あるく </t>
    </rPh>
    <phoneticPr fontId="2" type="Hiragana"/>
  </si>
  <si>
    <t>たべあるき</t>
    <phoneticPr fontId="2"/>
  </si>
  <si>
    <t>ツアー</t>
    <phoneticPr fontId="2" type="Hiragana"/>
  </si>
  <si>
    <t>日常食</t>
    <rPh sb="0" eb="1">
      <t xml:space="preserve">にちじょうしょく </t>
    </rPh>
    <rPh sb="2" eb="3">
      <t xml:space="preserve">しょく </t>
    </rPh>
    <phoneticPr fontId="2" type="Hiragana"/>
  </si>
  <si>
    <t>にちじょうしょく</t>
    <phoneticPr fontId="2"/>
  </si>
  <si>
    <t>観光資源</t>
    <rPh sb="0" eb="2">
      <t xml:space="preserve">かんこう </t>
    </rPh>
    <phoneticPr fontId="2" type="Hiragana"/>
  </si>
  <si>
    <t>かんこうしげん</t>
    <phoneticPr fontId="2"/>
  </si>
  <si>
    <t>富士宮市</t>
    <rPh sb="0" eb="2">
      <t xml:space="preserve">ふじみやし </t>
    </rPh>
    <rPh sb="3" eb="4">
      <t xml:space="preserve">し </t>
    </rPh>
    <phoneticPr fontId="2" type="Hiragana"/>
  </si>
  <si>
    <t>ふじのみやし</t>
    <phoneticPr fontId="2"/>
  </si>
  <si>
    <t>焼きそば</t>
    <phoneticPr fontId="2" type="Hiragana"/>
  </si>
  <si>
    <t>やきそば</t>
    <phoneticPr fontId="2"/>
  </si>
  <si>
    <t>もちもち</t>
    <phoneticPr fontId="2" type="Hiragana"/>
  </si>
  <si>
    <t>太い麺</t>
    <rPh sb="0" eb="1">
      <t xml:space="preserve">ふとい </t>
    </rPh>
    <rPh sb="2" eb="3">
      <t xml:space="preserve">めん </t>
    </rPh>
    <phoneticPr fontId="2" type="Hiragana"/>
  </si>
  <si>
    <t>ふといめん</t>
    <phoneticPr fontId="2"/>
  </si>
  <si>
    <t>特製</t>
    <rPh sb="0" eb="2">
      <t xml:space="preserve">とくせい </t>
    </rPh>
    <phoneticPr fontId="2" type="Hiragana"/>
  </si>
  <si>
    <t>specially made</t>
  </si>
  <si>
    <t>ソース</t>
    <phoneticPr fontId="2" type="Hiragana"/>
  </si>
  <si>
    <t>地元</t>
    <rPh sb="0" eb="1">
      <t xml:space="preserve">じもと </t>
    </rPh>
    <phoneticPr fontId="2" type="Hiragana"/>
  </si>
  <si>
    <t>じもと</t>
    <phoneticPr fontId="2"/>
  </si>
  <si>
    <t>ひとびと</t>
    <phoneticPr fontId="2"/>
  </si>
  <si>
    <t>ソウルフード</t>
    <phoneticPr fontId="2" type="Hiragana"/>
  </si>
  <si>
    <t>市民グループ</t>
    <rPh sb="0" eb="2">
      <t xml:space="preserve">しみん </t>
    </rPh>
    <phoneticPr fontId="2" type="Hiragana"/>
  </si>
  <si>
    <t>イベント</t>
    <phoneticPr fontId="2" type="Hiragana"/>
  </si>
  <si>
    <t>旅行社</t>
    <rPh sb="0" eb="2">
      <t xml:space="preserve">りょこうしゃ </t>
    </rPh>
    <rPh sb="2" eb="3">
      <t xml:space="preserve">しゃ </t>
    </rPh>
    <phoneticPr fontId="2" type="Hiragana"/>
  </si>
  <si>
    <t>共同</t>
    <rPh sb="0" eb="2">
      <t xml:space="preserve">きょうどう </t>
    </rPh>
    <phoneticPr fontId="2" type="Hiragana"/>
  </si>
  <si>
    <t>宣伝</t>
    <rPh sb="0" eb="2">
      <t xml:space="preserve">せんでん </t>
    </rPh>
    <phoneticPr fontId="2" type="Hiragana"/>
  </si>
  <si>
    <t>せんでん</t>
    <phoneticPr fontId="2"/>
  </si>
  <si>
    <t>グランプリ</t>
    <phoneticPr fontId="2" type="Hiragana"/>
  </si>
  <si>
    <t>B級グルメ</t>
    <rPh sb="1" eb="2">
      <t xml:space="preserve">きゅう </t>
    </rPh>
    <phoneticPr fontId="2" type="Hiragana"/>
  </si>
  <si>
    <t>祭典</t>
    <rPh sb="0" eb="2">
      <t xml:space="preserve">さいてん </t>
    </rPh>
    <phoneticPr fontId="2" type="Hiragana"/>
  </si>
  <si>
    <t>ゆうしょうする</t>
    <phoneticPr fontId="2"/>
  </si>
  <si>
    <t>日帰り</t>
    <rPh sb="0" eb="1">
      <t xml:space="preserve">ひがえり </t>
    </rPh>
    <phoneticPr fontId="2" type="Hiragana"/>
  </si>
  <si>
    <t>ひがえり</t>
    <phoneticPr fontId="2"/>
  </si>
  <si>
    <t>旅行者</t>
    <rPh sb="0" eb="1">
      <t xml:space="preserve">リョコウシャ </t>
    </rPh>
    <phoneticPr fontId="2"/>
  </si>
  <si>
    <t xml:space="preserve">りょこうしゃ </t>
    <phoneticPr fontId="2"/>
  </si>
  <si>
    <t>効果</t>
    <rPh sb="0" eb="2">
      <t xml:space="preserve">けいざいこうか </t>
    </rPh>
    <phoneticPr fontId="2" type="Hiragana"/>
  </si>
  <si>
    <t>こうか</t>
    <phoneticPr fontId="2"/>
  </si>
  <si>
    <t>地産地消</t>
    <rPh sb="0" eb="4">
      <t xml:space="preserve">ちさんちしょう </t>
    </rPh>
    <phoneticPr fontId="2" type="Hiragana"/>
  </si>
  <si>
    <t>輸送</t>
    <rPh sb="0" eb="2">
      <t xml:space="preserve">ゆそう </t>
    </rPh>
    <phoneticPr fontId="2" type="Hiragana"/>
  </si>
  <si>
    <t>ゆそう</t>
    <phoneticPr fontId="2"/>
  </si>
  <si>
    <t>コスト</t>
    <phoneticPr fontId="2" type="Hiragana"/>
  </si>
  <si>
    <t>新鮮（な）</t>
    <rPh sb="0" eb="2">
      <t xml:space="preserve">シンセンナ </t>
    </rPh>
    <phoneticPr fontId="2"/>
  </si>
  <si>
    <t>しんせん（な）</t>
    <phoneticPr fontId="2"/>
  </si>
  <si>
    <t>住民</t>
    <rPh sb="0" eb="2">
      <t xml:space="preserve">じゅうみん </t>
    </rPh>
    <phoneticPr fontId="2" type="Hiragana"/>
  </si>
  <si>
    <t>しょくざい</t>
    <phoneticPr fontId="2"/>
  </si>
  <si>
    <t>給食</t>
    <rPh sb="0" eb="2">
      <t xml:space="preserve">キュウショク </t>
    </rPh>
    <phoneticPr fontId="2"/>
  </si>
  <si>
    <t>きゅうしょく</t>
    <phoneticPr fontId="2"/>
  </si>
  <si>
    <t>生産者</t>
    <rPh sb="0" eb="3">
      <t xml:space="preserve">せいさんしゃ </t>
    </rPh>
    <phoneticPr fontId="2" type="Hiragana"/>
  </si>
  <si>
    <t>農業</t>
    <rPh sb="0" eb="2">
      <t xml:space="preserve">のうぎょう </t>
    </rPh>
    <phoneticPr fontId="2" type="Hiragana"/>
  </si>
  <si>
    <t>漁業</t>
    <rPh sb="0" eb="2">
      <t xml:space="preserve">ぎょぎょう </t>
    </rPh>
    <phoneticPr fontId="2" type="Hiragana"/>
  </si>
  <si>
    <t>畜産業</t>
    <rPh sb="0" eb="3">
      <t xml:space="preserve">ちくさんぎょう </t>
    </rPh>
    <phoneticPr fontId="2" type="Hiragana"/>
  </si>
  <si>
    <t>持続的（な）</t>
    <rPh sb="0" eb="2">
      <t xml:space="preserve">じぞくてき </t>
    </rPh>
    <rPh sb="2" eb="3">
      <t xml:space="preserve">てき </t>
    </rPh>
    <phoneticPr fontId="2" type="Hiragana"/>
  </si>
  <si>
    <t>じぞくてき（な）</t>
    <phoneticPr fontId="2"/>
  </si>
  <si>
    <t>料理レシピ</t>
    <rPh sb="0" eb="2">
      <t xml:space="preserve">リョウリレシピ </t>
    </rPh>
    <phoneticPr fontId="2"/>
  </si>
  <si>
    <t>りょうりれしぴ</t>
    <phoneticPr fontId="2"/>
  </si>
  <si>
    <t>土地</t>
    <rPh sb="0" eb="2">
      <t xml:space="preserve">とち </t>
    </rPh>
    <phoneticPr fontId="2" type="Hiragana"/>
  </si>
  <si>
    <t>世代</t>
    <rPh sb="0" eb="2">
      <t xml:space="preserve">セダイ </t>
    </rPh>
    <phoneticPr fontId="2"/>
  </si>
  <si>
    <t>せだい</t>
    <phoneticPr fontId="2"/>
  </si>
  <si>
    <t>人気</t>
    <rPh sb="0" eb="1">
      <t>々</t>
    </rPh>
    <phoneticPr fontId="2"/>
  </si>
  <si>
    <t>にんき</t>
    <phoneticPr fontId="2"/>
  </si>
  <si>
    <t>庶民的（な）</t>
    <rPh sb="0" eb="3">
      <t xml:space="preserve">ショミンテキ </t>
    </rPh>
    <phoneticPr fontId="2"/>
  </si>
  <si>
    <t>しょみんてき（な）</t>
    <phoneticPr fontId="2"/>
  </si>
  <si>
    <t>L3</t>
    <phoneticPr fontId="2"/>
  </si>
  <si>
    <t>ファストフード</t>
    <phoneticPr fontId="2" type="Hiragana"/>
  </si>
  <si>
    <t>現在</t>
    <rPh sb="0" eb="2">
      <t xml:space="preserve">げんざい </t>
    </rPh>
    <phoneticPr fontId="2" type="Hiragana"/>
  </si>
  <si>
    <t>ルーツ</t>
    <phoneticPr fontId="2" type="Hiragana"/>
  </si>
  <si>
    <t>東京</t>
    <rPh sb="0" eb="2">
      <t xml:space="preserve">とうきょう </t>
    </rPh>
    <phoneticPr fontId="2" type="Hiragana"/>
  </si>
  <si>
    <t>名称</t>
    <rPh sb="0" eb="2">
      <t xml:space="preserve">めいしょう </t>
    </rPh>
    <phoneticPr fontId="2" type="Hiragana"/>
  </si>
  <si>
    <t>もともと</t>
    <phoneticPr fontId="2" type="Hiragana"/>
  </si>
  <si>
    <t>人々</t>
    <rPh sb="0" eb="1">
      <t xml:space="preserve">ヒトビト </t>
    </rPh>
    <phoneticPr fontId="2"/>
  </si>
  <si>
    <t>環境</t>
    <rPh sb="0" eb="2">
      <t xml:space="preserve">かんきょう </t>
    </rPh>
    <phoneticPr fontId="2" type="Hiragana"/>
  </si>
  <si>
    <t>世紀</t>
    <rPh sb="0" eb="2">
      <t xml:space="preserve">セイキ </t>
    </rPh>
    <phoneticPr fontId="2"/>
  </si>
  <si>
    <t>せいき</t>
    <phoneticPr fontId="2"/>
  </si>
  <si>
    <t>徳川家康</t>
    <rPh sb="0" eb="4">
      <t>とくがわ</t>
    </rPh>
    <phoneticPr fontId="2" type="Hiragana"/>
  </si>
  <si>
    <t>とくがわいえやす</t>
    <phoneticPr fontId="2"/>
  </si>
  <si>
    <t>幕府</t>
    <rPh sb="0" eb="2">
      <t xml:space="preserve">ばくふ </t>
    </rPh>
    <phoneticPr fontId="2" type="Hiragana"/>
  </si>
  <si>
    <t>政府</t>
    <rPh sb="0" eb="2">
      <t xml:space="preserve">せいふ </t>
    </rPh>
    <phoneticPr fontId="2" type="Hiragana"/>
  </si>
  <si>
    <t>中心地</t>
    <rPh sb="0" eb="3">
      <t xml:space="preserve">チュウシンチ </t>
    </rPh>
    <phoneticPr fontId="2"/>
  </si>
  <si>
    <t>ちゅうしんち</t>
    <phoneticPr fontId="2"/>
  </si>
  <si>
    <t>生活水準</t>
    <rPh sb="0" eb="2">
      <t xml:space="preserve">せいかつ </t>
    </rPh>
    <rPh sb="2" eb="4">
      <t xml:space="preserve">すいじゅん </t>
    </rPh>
    <phoneticPr fontId="2" type="Hiragana"/>
  </si>
  <si>
    <t>二回</t>
    <rPh sb="0" eb="2">
      <t xml:space="preserve">にかい </t>
    </rPh>
    <phoneticPr fontId="2" type="Hiragana"/>
  </si>
  <si>
    <t>関心</t>
    <rPh sb="0" eb="2">
      <t xml:space="preserve">かんしん </t>
    </rPh>
    <phoneticPr fontId="2" type="Hiragana"/>
  </si>
  <si>
    <t>各地</t>
    <rPh sb="0" eb="2">
      <t xml:space="preserve">カクチ </t>
    </rPh>
    <phoneticPr fontId="2"/>
  </si>
  <si>
    <t>単身</t>
    <rPh sb="0" eb="2">
      <t xml:space="preserve">たんしん </t>
    </rPh>
    <phoneticPr fontId="2" type="Hiragana"/>
  </si>
  <si>
    <t>多く</t>
    <rPh sb="0" eb="1">
      <t xml:space="preserve">おおい </t>
    </rPh>
    <phoneticPr fontId="2" type="Hiragana"/>
  </si>
  <si>
    <t>労働者</t>
    <rPh sb="0" eb="3">
      <t xml:space="preserve">ろうどうしゃ </t>
    </rPh>
    <phoneticPr fontId="2" type="Hiragana"/>
  </si>
  <si>
    <t>胃袋</t>
    <rPh sb="0" eb="2">
      <t xml:space="preserve">いぶくろ </t>
    </rPh>
    <phoneticPr fontId="2" type="Hiragana"/>
  </si>
  <si>
    <t>屋台</t>
    <rPh sb="0" eb="2">
      <t xml:space="preserve">やたい </t>
    </rPh>
    <phoneticPr fontId="2" type="Hiragana"/>
  </si>
  <si>
    <t>外食</t>
    <rPh sb="0" eb="2">
      <t xml:space="preserve">がいしょく </t>
    </rPh>
    <phoneticPr fontId="2" type="Hiragana"/>
  </si>
  <si>
    <t>にぎり寿司</t>
    <rPh sb="3" eb="5">
      <t xml:space="preserve">すし </t>
    </rPh>
    <phoneticPr fontId="2" type="Hiragana"/>
  </si>
  <si>
    <t>うなぎのかば焼き</t>
    <phoneticPr fontId="2" type="Hiragana"/>
  </si>
  <si>
    <t>甘酒</t>
    <rPh sb="0" eb="1">
      <t>さ</t>
    </rPh>
    <phoneticPr fontId="2" type="Hiragana"/>
  </si>
  <si>
    <t>あまざけ</t>
    <phoneticPr fontId="2"/>
  </si>
  <si>
    <t>手軽</t>
    <rPh sb="0" eb="2">
      <t xml:space="preserve">てかるい </t>
    </rPh>
    <phoneticPr fontId="2" type="Hiragana"/>
  </si>
  <si>
    <t>てがる</t>
    <phoneticPr fontId="2"/>
  </si>
  <si>
    <t>いわば</t>
    <phoneticPr fontId="2" type="Hiragana"/>
  </si>
  <si>
    <t>数</t>
    <rPh sb="0" eb="1">
      <t xml:space="preserve">かず </t>
    </rPh>
    <phoneticPr fontId="2" type="Hiragana"/>
  </si>
  <si>
    <t>庶民</t>
    <rPh sb="0" eb="2">
      <t xml:space="preserve">しょみん </t>
    </rPh>
    <phoneticPr fontId="2" type="Hiragana"/>
  </si>
  <si>
    <t>習慣</t>
    <rPh sb="0" eb="2">
      <t xml:space="preserve">しゅうかん </t>
    </rPh>
    <phoneticPr fontId="2" type="Hiragana"/>
  </si>
  <si>
    <t>酒屋</t>
    <rPh sb="1" eb="2">
      <t xml:space="preserve">や </t>
    </rPh>
    <phoneticPr fontId="2" type="Hiragana"/>
  </si>
  <si>
    <t>さかや</t>
    <phoneticPr fontId="2"/>
  </si>
  <si>
    <t>場</t>
    <rPh sb="0" eb="1">
      <t xml:space="preserve">ばしょ </t>
    </rPh>
    <phoneticPr fontId="2" type="Hiragana"/>
  </si>
  <si>
    <t>ば</t>
    <phoneticPr fontId="2"/>
  </si>
  <si>
    <t>こうした</t>
    <phoneticPr fontId="2"/>
  </si>
  <si>
    <t>居酒屋</t>
    <rPh sb="0" eb="3">
      <t xml:space="preserve">いざかや </t>
    </rPh>
    <phoneticPr fontId="2" type="Hiragana"/>
  </si>
  <si>
    <t>後期</t>
    <rPh sb="0" eb="2">
      <t xml:space="preserve">こうき </t>
    </rPh>
    <phoneticPr fontId="2" type="Hiragana"/>
  </si>
  <si>
    <t>裕福（な）</t>
    <rPh sb="0" eb="2">
      <t xml:space="preserve">ゆうふく </t>
    </rPh>
    <phoneticPr fontId="2" type="Hiragana"/>
  </si>
  <si>
    <t>商人</t>
    <rPh sb="0" eb="2">
      <t xml:space="preserve">しょうにん </t>
    </rPh>
    <phoneticPr fontId="2" type="Hiragana"/>
  </si>
  <si>
    <t>武士</t>
    <rPh sb="0" eb="2">
      <t xml:space="preserve">ぶし </t>
    </rPh>
    <phoneticPr fontId="2" type="Hiragana"/>
  </si>
  <si>
    <t>宴会</t>
    <rPh sb="0" eb="2">
      <t xml:space="preserve">えんかい </t>
    </rPh>
    <phoneticPr fontId="2" type="Hiragana"/>
  </si>
  <si>
    <t>高級（な）</t>
    <rPh sb="0" eb="1">
      <t xml:space="preserve">こうきゅう </t>
    </rPh>
    <phoneticPr fontId="2" type="Hiragana"/>
  </si>
  <si>
    <t>料亭</t>
    <rPh sb="0" eb="2">
      <t xml:space="preserve">りょうてい </t>
    </rPh>
    <phoneticPr fontId="2" type="Hiragana"/>
  </si>
  <si>
    <t>豪華（な）</t>
    <rPh sb="0" eb="2">
      <t xml:space="preserve">ごうか </t>
    </rPh>
    <phoneticPr fontId="2" type="Hiragana"/>
  </si>
  <si>
    <t>芸者</t>
    <rPh sb="0" eb="2">
      <t xml:space="preserve">げいしゃ </t>
    </rPh>
    <phoneticPr fontId="2" type="Hiragana"/>
  </si>
  <si>
    <t>接待</t>
    <rPh sb="0" eb="2">
      <t xml:space="preserve">せったい </t>
    </rPh>
    <phoneticPr fontId="2" type="Hiragana"/>
  </si>
  <si>
    <t>せったい</t>
    <phoneticPr fontId="2"/>
  </si>
  <si>
    <t>ちなみに</t>
    <phoneticPr fontId="2" type="Hiragana"/>
  </si>
  <si>
    <t>会席料理</t>
    <rPh sb="0" eb="2">
      <t xml:space="preserve">かいせき </t>
    </rPh>
    <rPh sb="2" eb="4">
      <t xml:space="preserve">りょうり </t>
    </rPh>
    <phoneticPr fontId="2" type="Hiragana"/>
  </si>
  <si>
    <t>刺身</t>
    <rPh sb="0" eb="2">
      <t xml:space="preserve">さしみ </t>
    </rPh>
    <phoneticPr fontId="2" type="Hiragana"/>
  </si>
  <si>
    <t>焼き物</t>
    <rPh sb="0" eb="1">
      <t xml:space="preserve">やきもの </t>
    </rPh>
    <phoneticPr fontId="2" type="Hiragana"/>
  </si>
  <si>
    <t>やきもの</t>
    <phoneticPr fontId="2"/>
  </si>
  <si>
    <t>基本</t>
    <rPh sb="0" eb="2">
      <t xml:space="preserve">キホン </t>
    </rPh>
    <phoneticPr fontId="2"/>
  </si>
  <si>
    <t>きほん</t>
    <phoneticPr fontId="2"/>
  </si>
  <si>
    <t>一汁三菜</t>
    <rPh sb="0" eb="4">
      <t xml:space="preserve">イチジュウサンサイ </t>
    </rPh>
    <phoneticPr fontId="2"/>
  </si>
  <si>
    <t>いちじゅうさんさい</t>
    <phoneticPr fontId="2"/>
  </si>
  <si>
    <t>コース料理</t>
    <rPh sb="3" eb="5">
      <t xml:space="preserve">りょうり </t>
    </rPh>
    <phoneticPr fontId="2" type="Hiragana"/>
  </si>
  <si>
    <t>結婚式</t>
    <rPh sb="0" eb="2">
      <t xml:space="preserve">けっこん </t>
    </rPh>
    <rPh sb="2" eb="3">
      <t xml:space="preserve">しき </t>
    </rPh>
    <phoneticPr fontId="2" type="Hiragana"/>
  </si>
  <si>
    <t>けっこんしき</t>
    <phoneticPr fontId="2"/>
  </si>
  <si>
    <t>和製洋食</t>
    <rPh sb="0" eb="2">
      <t xml:space="preserve">わせい </t>
    </rPh>
    <rPh sb="2" eb="4">
      <t xml:space="preserve">ようしょく </t>
    </rPh>
    <phoneticPr fontId="2" type="Hiragana"/>
  </si>
  <si>
    <t>印象</t>
    <rPh sb="0" eb="2">
      <t xml:space="preserve">インショウ </t>
    </rPh>
    <phoneticPr fontId="2"/>
  </si>
  <si>
    <t>いんしょう</t>
    <phoneticPr fontId="2"/>
  </si>
  <si>
    <t>後半</t>
    <rPh sb="0" eb="2">
      <t xml:space="preserve">こうはん </t>
    </rPh>
    <phoneticPr fontId="2" type="Hiragana"/>
  </si>
  <si>
    <t>文明開化</t>
    <rPh sb="0" eb="4">
      <t xml:space="preserve">ぶんめいかいか </t>
    </rPh>
    <phoneticPr fontId="2" type="Hiragana"/>
  </si>
  <si>
    <t>転換期</t>
    <rPh sb="0" eb="3">
      <t xml:space="preserve">てんかんき </t>
    </rPh>
    <phoneticPr fontId="2" type="Hiragana"/>
  </si>
  <si>
    <t>新政府</t>
    <rPh sb="0" eb="3">
      <t xml:space="preserve">しんせいふ </t>
    </rPh>
    <phoneticPr fontId="2" type="Hiragana"/>
  </si>
  <si>
    <t>思想</t>
    <rPh sb="0" eb="2">
      <t xml:space="preserve">しそう </t>
    </rPh>
    <phoneticPr fontId="2" type="Hiragana"/>
  </si>
  <si>
    <t>基盤</t>
    <rPh sb="0" eb="2">
      <t xml:space="preserve">きばん </t>
    </rPh>
    <phoneticPr fontId="2" type="Hiragana"/>
  </si>
  <si>
    <t>郵便</t>
    <rPh sb="0" eb="2">
      <t xml:space="preserve">ゆうびん </t>
    </rPh>
    <phoneticPr fontId="2" type="Hiragana"/>
  </si>
  <si>
    <t>鉄道</t>
    <rPh sb="0" eb="2">
      <t xml:space="preserve">てつどう </t>
    </rPh>
    <phoneticPr fontId="2" type="Hiragana"/>
  </si>
  <si>
    <t>インフラ整備</t>
    <rPh sb="4" eb="6">
      <t xml:space="preserve">せいび </t>
    </rPh>
    <phoneticPr fontId="2" type="Hiragana"/>
  </si>
  <si>
    <t>国家</t>
    <rPh sb="0" eb="2">
      <t xml:space="preserve">こっか </t>
    </rPh>
    <phoneticPr fontId="2" type="Hiragana"/>
  </si>
  <si>
    <t>近代化</t>
    <rPh sb="0" eb="3">
      <t xml:space="preserve">きんだいか </t>
    </rPh>
    <phoneticPr fontId="2" type="Hiragana"/>
  </si>
  <si>
    <t>西洋化</t>
    <rPh sb="0" eb="3">
      <t xml:space="preserve">セイヨウカ </t>
    </rPh>
    <phoneticPr fontId="2"/>
  </si>
  <si>
    <t>せいようか</t>
    <phoneticPr fontId="2"/>
  </si>
  <si>
    <t>うごき</t>
    <phoneticPr fontId="2"/>
  </si>
  <si>
    <t>食生活</t>
    <phoneticPr fontId="2"/>
  </si>
  <si>
    <t>しょくせいかつ</t>
    <phoneticPr fontId="2"/>
  </si>
  <si>
    <t>影響</t>
    <rPh sb="0" eb="2">
      <t xml:space="preserve">エイキョウ </t>
    </rPh>
    <phoneticPr fontId="2"/>
  </si>
  <si>
    <t>えいきょう</t>
    <phoneticPr fontId="2"/>
  </si>
  <si>
    <t>タブー視する</t>
    <phoneticPr fontId="2" type="Hiragana"/>
  </si>
  <si>
    <t>肉食</t>
    <rPh sb="0" eb="2">
      <t xml:space="preserve">にくしょく </t>
    </rPh>
    <phoneticPr fontId="2" type="Hiragana"/>
  </si>
  <si>
    <t>ネギ</t>
    <phoneticPr fontId="2" type="Hiragana"/>
  </si>
  <si>
    <t>伝統的（な）</t>
    <rPh sb="0" eb="3">
      <t xml:space="preserve">デントウテキナ </t>
    </rPh>
    <phoneticPr fontId="2"/>
  </si>
  <si>
    <t>でんとうてき（な）</t>
    <phoneticPr fontId="2"/>
  </si>
  <si>
    <t>調理法</t>
    <rPh sb="0" eb="3">
      <t xml:space="preserve">ちょうりほう </t>
    </rPh>
    <phoneticPr fontId="2" type="Hiragana"/>
  </si>
  <si>
    <t>牛鍋</t>
    <rPh sb="0" eb="2">
      <t xml:space="preserve">ぎゅうなべ </t>
    </rPh>
    <phoneticPr fontId="2" type="Hiragana"/>
  </si>
  <si>
    <t>都市</t>
    <rPh sb="0" eb="2">
      <t xml:space="preserve">トシ </t>
    </rPh>
    <phoneticPr fontId="2"/>
  </si>
  <si>
    <t>とし</t>
    <phoneticPr fontId="2"/>
  </si>
  <si>
    <t>ゆうふく （な）</t>
    <phoneticPr fontId="2"/>
  </si>
  <si>
    <t>現在</t>
    <rPh sb="0" eb="2">
      <t xml:space="preserve">ゲンザイ </t>
    </rPh>
    <phoneticPr fontId="2"/>
  </si>
  <si>
    <t>げんざい</t>
    <phoneticPr fontId="2"/>
  </si>
  <si>
    <t>すき焼き</t>
    <phoneticPr fontId="2" type="Hiragana"/>
  </si>
  <si>
    <t>すきやき</t>
    <phoneticPr fontId="2"/>
  </si>
  <si>
    <t>みりん</t>
    <phoneticPr fontId="2" type="Hiragana"/>
  </si>
  <si>
    <t>砂糖</t>
    <rPh sb="0" eb="2">
      <t xml:space="preserve">さとう </t>
    </rPh>
    <phoneticPr fontId="2" type="Hiragana"/>
  </si>
  <si>
    <t>鍋</t>
    <rPh sb="0" eb="1">
      <t xml:space="preserve">ナベ </t>
    </rPh>
    <phoneticPr fontId="2"/>
  </si>
  <si>
    <t>なべ</t>
    <phoneticPr fontId="2"/>
  </si>
  <si>
    <t>原型</t>
    <rPh sb="0" eb="1">
      <t xml:space="preserve">げんかた </t>
    </rPh>
    <rPh sb="1" eb="2">
      <t xml:space="preserve">かた </t>
    </rPh>
    <phoneticPr fontId="2" type="Hiragana"/>
  </si>
  <si>
    <t>げんけい</t>
    <phoneticPr fontId="2"/>
  </si>
  <si>
    <t>当時</t>
    <rPh sb="0" eb="2">
      <t xml:space="preserve">とうじ </t>
    </rPh>
    <phoneticPr fontId="2" type="Hiragana"/>
  </si>
  <si>
    <t>食材</t>
    <rPh sb="0" eb="1">
      <t xml:space="preserve">ショクザイ </t>
    </rPh>
    <phoneticPr fontId="2"/>
  </si>
  <si>
    <t>なじみ</t>
    <phoneticPr fontId="2" type="Hiragana"/>
  </si>
  <si>
    <t>容易</t>
    <rPh sb="0" eb="2">
      <t xml:space="preserve">ようい </t>
    </rPh>
    <phoneticPr fontId="2" type="Hiragana"/>
  </si>
  <si>
    <t>次第に</t>
    <rPh sb="0" eb="2">
      <t xml:space="preserve">しだい </t>
    </rPh>
    <phoneticPr fontId="2" type="Hiragana"/>
  </si>
  <si>
    <t>好み</t>
    <rPh sb="0" eb="1">
      <t xml:space="preserve">コノミ </t>
    </rPh>
    <phoneticPr fontId="2"/>
  </si>
  <si>
    <t>このみ</t>
    <phoneticPr fontId="2"/>
  </si>
  <si>
    <t>国民食</t>
    <rPh sb="0" eb="3">
      <t xml:space="preserve">こくみんしょく </t>
    </rPh>
    <phoneticPr fontId="2" type="Hiragana"/>
  </si>
  <si>
    <t>カレーライス</t>
    <phoneticPr fontId="2" type="Hiragana"/>
  </si>
  <si>
    <t>かれいらいす</t>
    <phoneticPr fontId="2"/>
  </si>
  <si>
    <t>人気</t>
    <rPh sb="0" eb="1">
      <t>々</t>
    </rPh>
    <phoneticPr fontId="2" type="Hiragana"/>
  </si>
  <si>
    <t>コロッケ</t>
    <phoneticPr fontId="2" type="Hiragana"/>
  </si>
  <si>
    <t>とんかつ</t>
    <phoneticPr fontId="2" type="Hiragana"/>
  </si>
  <si>
    <t>インド</t>
    <phoneticPr fontId="2" type="Hiragana"/>
  </si>
  <si>
    <t>イギリス</t>
    <phoneticPr fontId="2" type="Hiragana"/>
  </si>
  <si>
    <t>初期</t>
    <rPh sb="0" eb="2">
      <t xml:space="preserve">しょき </t>
    </rPh>
    <phoneticPr fontId="2" type="Hiragana"/>
  </si>
  <si>
    <t>指南</t>
    <rPh sb="0" eb="2">
      <t xml:space="preserve">しなん </t>
    </rPh>
    <phoneticPr fontId="2" type="Hiragana"/>
  </si>
  <si>
    <t>材料</t>
    <rPh sb="0" eb="2">
      <t xml:space="preserve">ざいりょう </t>
    </rPh>
    <phoneticPr fontId="2" type="Hiragana"/>
  </si>
  <si>
    <t>長ネギ</t>
    <rPh sb="0" eb="1">
      <t xml:space="preserve">ながねぎ </t>
    </rPh>
    <phoneticPr fontId="2" type="Hiragana"/>
  </si>
  <si>
    <t>ながねぎ</t>
    <phoneticPr fontId="2"/>
  </si>
  <si>
    <t>タイ</t>
    <phoneticPr fontId="2" type="Hiragana"/>
  </si>
  <si>
    <t>カエル</t>
    <phoneticPr fontId="2" type="Hiragana"/>
  </si>
  <si>
    <t>さらに</t>
    <phoneticPr fontId="2"/>
  </si>
  <si>
    <t>末期</t>
    <rPh sb="0" eb="2">
      <t xml:space="preserve">まっき </t>
    </rPh>
    <phoneticPr fontId="2" type="Hiragana"/>
  </si>
  <si>
    <t>カレーうどん</t>
    <phoneticPr fontId="2"/>
  </si>
  <si>
    <t>かれいうどん</t>
    <phoneticPr fontId="2"/>
  </si>
  <si>
    <t>スパイシー（な）</t>
    <phoneticPr fontId="2" type="Hiragana"/>
  </si>
  <si>
    <t>意外（な）</t>
    <rPh sb="0" eb="2">
      <t xml:space="preserve">いがい </t>
    </rPh>
    <phoneticPr fontId="2" type="Hiragana"/>
  </si>
  <si>
    <t>近代国家</t>
    <rPh sb="0" eb="2">
      <t xml:space="preserve">きんだいこっか けいせいき き </t>
    </rPh>
    <rPh sb="2" eb="4">
      <t xml:space="preserve">こっか </t>
    </rPh>
    <phoneticPr fontId="2" type="Hiragana"/>
  </si>
  <si>
    <t>きんだいこっか</t>
    <phoneticPr fontId="2"/>
  </si>
  <si>
    <t>形成期</t>
    <phoneticPr fontId="2"/>
  </si>
  <si>
    <t>けいせいき</t>
    <phoneticPr fontId="2"/>
  </si>
  <si>
    <t>興味</t>
    <rPh sb="0" eb="2">
      <t xml:space="preserve">きょうみ </t>
    </rPh>
    <phoneticPr fontId="2" type="Hiragana"/>
  </si>
  <si>
    <t xml:space="preserve">きょうみ </t>
    <phoneticPr fontId="2"/>
  </si>
  <si>
    <t>違い</t>
    <phoneticPr fontId="2" type="Hiragana"/>
  </si>
  <si>
    <t>ちがい</t>
    <phoneticPr fontId="2"/>
  </si>
  <si>
    <t>それぞれ</t>
    <phoneticPr fontId="2" type="Hiragana"/>
  </si>
  <si>
    <t>魅力</t>
    <rPh sb="0" eb="2">
      <t xml:space="preserve">ミリョク </t>
    </rPh>
    <phoneticPr fontId="2"/>
  </si>
  <si>
    <t>みりょく</t>
    <phoneticPr fontId="2"/>
  </si>
  <si>
    <t>27</t>
    <phoneticPr fontId="2"/>
  </si>
  <si>
    <t>独自</t>
    <rPh sb="0" eb="2">
      <t xml:space="preserve">どくじ </t>
    </rPh>
    <phoneticPr fontId="2" type="Hiragana"/>
  </si>
  <si>
    <t>国境</t>
    <rPh sb="0" eb="1">
      <t xml:space="preserve">こっきょう </t>
    </rPh>
    <phoneticPr fontId="2" type="Hiragana"/>
  </si>
  <si>
    <t>こっきょう</t>
    <phoneticPr fontId="2"/>
  </si>
  <si>
    <t>融合</t>
    <rPh sb="0" eb="1">
      <t xml:space="preserve">ユウゴウ </t>
    </rPh>
    <phoneticPr fontId="2"/>
  </si>
  <si>
    <t>ゆうごう</t>
    <phoneticPr fontId="2"/>
  </si>
  <si>
    <t>グローバル化</t>
    <rPh sb="0" eb="5">
      <t>か</t>
    </rPh>
    <phoneticPr fontId="2" type="Hiragana"/>
  </si>
  <si>
    <t>現象</t>
    <rPh sb="0" eb="1">
      <t xml:space="preserve">げんしょう </t>
    </rPh>
    <phoneticPr fontId="2" type="Hiragana"/>
  </si>
  <si>
    <t>げんしょう</t>
    <phoneticPr fontId="2"/>
  </si>
  <si>
    <t>実は</t>
    <rPh sb="0" eb="1">
      <t xml:space="preserve">じつは </t>
    </rPh>
    <phoneticPr fontId="2" type="Hiragana"/>
  </si>
  <si>
    <t>じつは</t>
    <phoneticPr fontId="2"/>
  </si>
  <si>
    <t>先人</t>
    <rPh sb="0" eb="1">
      <t>せんにん</t>
    </rPh>
    <rPh sb="1" eb="2">
      <t>にん</t>
    </rPh>
    <phoneticPr fontId="2" type="Hiragana"/>
  </si>
  <si>
    <t>知恵</t>
    <rPh sb="0" eb="2">
      <t xml:space="preserve">ちえ </t>
    </rPh>
    <phoneticPr fontId="2" type="Hiragana"/>
  </si>
  <si>
    <t>可能性</t>
    <rPh sb="0" eb="3">
      <t xml:space="preserve">かのうせい </t>
    </rPh>
    <phoneticPr fontId="2" type="Hiragana"/>
  </si>
  <si>
    <t>L4</t>
    <phoneticPr fontId="2"/>
  </si>
  <si>
    <t>グローバル化</t>
    <phoneticPr fontId="2"/>
  </si>
  <si>
    <t>人類</t>
    <rPh sb="0" eb="2">
      <t xml:space="preserve">じんるい </t>
    </rPh>
    <phoneticPr fontId="2" type="Hiragana"/>
  </si>
  <si>
    <t>麺類</t>
    <rPh sb="0" eb="2">
      <t xml:space="preserve">めんるい </t>
    </rPh>
    <phoneticPr fontId="2" type="Hiragana"/>
  </si>
  <si>
    <t>様々（な）</t>
    <rPh sb="0" eb="1">
      <t xml:space="preserve">サマザマナ </t>
    </rPh>
    <phoneticPr fontId="2"/>
  </si>
  <si>
    <t>麺</t>
    <rPh sb="0" eb="1">
      <t xml:space="preserve">メン </t>
    </rPh>
    <phoneticPr fontId="2"/>
  </si>
  <si>
    <t>ラーメン</t>
    <phoneticPr fontId="2"/>
  </si>
  <si>
    <t>国民食</t>
    <rPh sb="0" eb="2">
      <t xml:space="preserve">コクミンショク </t>
    </rPh>
    <phoneticPr fontId="2"/>
  </si>
  <si>
    <t>人気</t>
    <rPh sb="0" eb="2">
      <t xml:space="preserve">ニンキ </t>
    </rPh>
    <phoneticPr fontId="2"/>
  </si>
  <si>
    <t>全国</t>
    <rPh sb="0" eb="1">
      <t xml:space="preserve">ぜんこく </t>
    </rPh>
    <phoneticPr fontId="2" type="Hiragana"/>
  </si>
  <si>
    <t>軒</t>
    <rPh sb="0" eb="1">
      <t xml:space="preserve">けん </t>
    </rPh>
    <phoneticPr fontId="2" type="Hiragana"/>
  </si>
  <si>
    <t>列</t>
    <rPh sb="0" eb="1">
      <t xml:space="preserve">れつ </t>
    </rPh>
    <phoneticPr fontId="2" type="Hiragana"/>
  </si>
  <si>
    <t>スープ</t>
    <phoneticPr fontId="2"/>
  </si>
  <si>
    <t>とんこつ</t>
    <phoneticPr fontId="2" type="Hiragana"/>
  </si>
  <si>
    <t>食感</t>
    <phoneticPr fontId="2" type="Hiragana"/>
  </si>
  <si>
    <t>トッピング</t>
    <phoneticPr fontId="2" type="Hiragana"/>
  </si>
  <si>
    <t>宝探し</t>
    <rPh sb="0" eb="2">
      <t xml:space="preserve">たからさがし </t>
    </rPh>
    <phoneticPr fontId="2" type="Hiragana"/>
  </si>
  <si>
    <t>もともと</t>
    <phoneticPr fontId="2"/>
  </si>
  <si>
    <t>世紀</t>
    <rPh sb="0" eb="1">
      <t xml:space="preserve">セイキ </t>
    </rPh>
    <phoneticPr fontId="2"/>
  </si>
  <si>
    <t>後半</t>
    <rPh sb="0" eb="2">
      <t xml:space="preserve">コウハン </t>
    </rPh>
    <phoneticPr fontId="2"/>
  </si>
  <si>
    <t>ごろ</t>
    <phoneticPr fontId="2" type="Hiragana"/>
  </si>
  <si>
    <t>原型</t>
    <rPh sb="0" eb="1">
      <t xml:space="preserve">ゲンケイ </t>
    </rPh>
    <phoneticPr fontId="2"/>
  </si>
  <si>
    <t>東京</t>
    <rPh sb="0" eb="2">
      <t xml:space="preserve">トウキョウ </t>
    </rPh>
    <phoneticPr fontId="2"/>
  </si>
  <si>
    <t>浅草</t>
    <rPh sb="0" eb="2">
      <t xml:space="preserve">あさくさ </t>
    </rPh>
    <phoneticPr fontId="2" type="Hiragana"/>
  </si>
  <si>
    <t>来々軒</t>
    <rPh sb="0" eb="1">
      <t xml:space="preserve">らいらいけん </t>
    </rPh>
    <phoneticPr fontId="2" type="Hiragana"/>
  </si>
  <si>
    <t>第二次世界大戦</t>
    <rPh sb="0" eb="3">
      <t xml:space="preserve">ダイニジ </t>
    </rPh>
    <rPh sb="3" eb="7">
      <t xml:space="preserve">セカイタイセン </t>
    </rPh>
    <phoneticPr fontId="2"/>
  </si>
  <si>
    <t>原料</t>
    <rPh sb="0" eb="2">
      <t xml:space="preserve">げんりょう </t>
    </rPh>
    <phoneticPr fontId="2" type="Hiragana"/>
  </si>
  <si>
    <t>小麦</t>
    <rPh sb="0" eb="2">
      <t xml:space="preserve">コムギ </t>
    </rPh>
    <phoneticPr fontId="2"/>
  </si>
  <si>
    <t>大量</t>
    <rPh sb="0" eb="2">
      <t xml:space="preserve">タイリョウ </t>
    </rPh>
    <phoneticPr fontId="2"/>
  </si>
  <si>
    <t>庶民</t>
    <rPh sb="0" eb="2">
      <t xml:space="preserve">ショミン </t>
    </rPh>
    <phoneticPr fontId="2"/>
  </si>
  <si>
    <t>地位</t>
    <rPh sb="0" eb="2">
      <t xml:space="preserve">ちい </t>
    </rPh>
    <phoneticPr fontId="2" type="Hiragana"/>
  </si>
  <si>
    <t>海外</t>
    <rPh sb="0" eb="1">
      <t xml:space="preserve">カイガイ </t>
    </rPh>
    <phoneticPr fontId="2"/>
  </si>
  <si>
    <t>今や</t>
    <rPh sb="0" eb="1">
      <t xml:space="preserve">いまや </t>
    </rPh>
    <phoneticPr fontId="2" type="Hiragana"/>
  </si>
  <si>
    <t>主な</t>
    <rPh sb="0" eb="1">
      <t xml:space="preserve">おもな </t>
    </rPh>
    <phoneticPr fontId="2" type="Hiragana"/>
  </si>
  <si>
    <t>必ず</t>
    <rPh sb="0" eb="1">
      <t xml:space="preserve">かならず </t>
    </rPh>
    <phoneticPr fontId="2" type="Hiragana"/>
  </si>
  <si>
    <t>背景</t>
    <rPh sb="0" eb="2">
      <t xml:space="preserve">はいけい </t>
    </rPh>
    <phoneticPr fontId="2" type="Hiragana"/>
  </si>
  <si>
    <t>海外展開</t>
    <rPh sb="0" eb="2">
      <t xml:space="preserve">かいがい </t>
    </rPh>
    <rPh sb="2" eb="4">
      <t xml:space="preserve">てんかい </t>
    </rPh>
    <phoneticPr fontId="2" type="Hiragana"/>
  </si>
  <si>
    <t>現地</t>
    <rPh sb="0" eb="1">
      <t xml:space="preserve">げんち </t>
    </rPh>
    <phoneticPr fontId="2" type="Hiragana"/>
  </si>
  <si>
    <t>経営者</t>
    <rPh sb="0" eb="3">
      <t xml:space="preserve">けいえいしゃ </t>
    </rPh>
    <phoneticPr fontId="2" type="Hiragana"/>
  </si>
  <si>
    <t>ブーム</t>
    <phoneticPr fontId="2"/>
  </si>
  <si>
    <t>創出</t>
    <rPh sb="0" eb="2">
      <t xml:space="preserve">そうしゅつ </t>
    </rPh>
    <phoneticPr fontId="2" type="Hiragana"/>
  </si>
  <si>
    <t>側面</t>
    <rPh sb="0" eb="2">
      <t xml:space="preserve">そくめん </t>
    </rPh>
    <phoneticPr fontId="2" type="Hiragana"/>
  </si>
  <si>
    <t>一風堂</t>
    <rPh sb="0" eb="3">
      <t xml:space="preserve">いっぷうどう </t>
    </rPh>
    <phoneticPr fontId="2" type="Hiragana"/>
  </si>
  <si>
    <t>魅力</t>
    <rPh sb="0" eb="1">
      <t xml:space="preserve">ミリョク </t>
    </rPh>
    <phoneticPr fontId="2"/>
  </si>
  <si>
    <t>チェーン店</t>
    <rPh sb="4" eb="5">
      <t xml:space="preserve">てん </t>
    </rPh>
    <phoneticPr fontId="2" type="Hiragana"/>
  </si>
  <si>
    <t>役割</t>
    <rPh sb="0" eb="2">
      <t xml:space="preserve">やくわり </t>
    </rPh>
    <phoneticPr fontId="2" type="Hiragana"/>
  </si>
  <si>
    <t>role</t>
    <phoneticPr fontId="2"/>
  </si>
  <si>
    <t>面</t>
    <rPh sb="0" eb="1">
      <t xml:space="preserve">めん </t>
    </rPh>
    <phoneticPr fontId="2" type="Hiragana"/>
  </si>
  <si>
    <t>韓国</t>
    <rPh sb="0" eb="2">
      <t xml:space="preserve">かんこく </t>
    </rPh>
    <phoneticPr fontId="2" type="Hiragana"/>
  </si>
  <si>
    <t>ネンミョン</t>
    <phoneticPr fontId="2" type="Hiragana"/>
  </si>
  <si>
    <t>ベトナム</t>
    <phoneticPr fontId="2" type="Hiragana"/>
  </si>
  <si>
    <t>フォー</t>
    <phoneticPr fontId="2" type="Hiragana"/>
  </si>
  <si>
    <t>イタリア</t>
    <phoneticPr fontId="2" type="Hiragana"/>
  </si>
  <si>
    <t>スパゲティー</t>
    <phoneticPr fontId="2"/>
  </si>
  <si>
    <t>世界中</t>
    <rPh sb="0" eb="3">
      <t xml:space="preserve">せかいちゅう </t>
    </rPh>
    <phoneticPr fontId="2" type="Hiragana"/>
  </si>
  <si>
    <t>インスタント</t>
    <phoneticPr fontId="2" type="Hiragana"/>
  </si>
  <si>
    <t>安藤百福</t>
    <rPh sb="0" eb="2">
      <t xml:space="preserve">あんどう </t>
    </rPh>
    <rPh sb="2" eb="4">
      <t xml:space="preserve">ももふく </t>
    </rPh>
    <phoneticPr fontId="2" type="Hiragana"/>
  </si>
  <si>
    <t>関係者</t>
    <rPh sb="0" eb="3">
      <t xml:space="preserve">かんけいしゃ </t>
    </rPh>
    <phoneticPr fontId="2" type="Hiragana"/>
  </si>
  <si>
    <t>スシ・ポリス</t>
    <phoneticPr fontId="2" type="Hiragana"/>
  </si>
  <si>
    <t>具材</t>
    <rPh sb="0" eb="2">
      <t xml:space="preserve">ぐざい </t>
    </rPh>
    <phoneticPr fontId="2" type="Hiragana"/>
  </si>
  <si>
    <t>ならでは</t>
    <phoneticPr fontId="2" type="Hiragana"/>
  </si>
  <si>
    <t>における</t>
    <phoneticPr fontId="2" type="Hiragana"/>
  </si>
  <si>
    <t>日本食</t>
    <rPh sb="0" eb="3">
      <t xml:space="preserve">にほんしょく </t>
    </rPh>
    <phoneticPr fontId="2" type="Hiragana"/>
  </si>
  <si>
    <t>注目度</t>
    <rPh sb="0" eb="1">
      <t>する</t>
    </rPh>
    <phoneticPr fontId="2" type="Hiragana"/>
  </si>
  <si>
    <t>ローカル化</t>
    <rPh sb="4" eb="5">
      <t xml:space="preserve">か </t>
    </rPh>
    <phoneticPr fontId="2" type="Hiragana"/>
  </si>
  <si>
    <t>代表</t>
    <rPh sb="0" eb="2">
      <t xml:space="preserve">だいひょう </t>
    </rPh>
    <phoneticPr fontId="2" type="Hiragana"/>
  </si>
  <si>
    <t>例</t>
    <rPh sb="0" eb="1">
      <t xml:space="preserve">いちれい </t>
    </rPh>
    <phoneticPr fontId="2" type="Hiragana"/>
  </si>
  <si>
    <t>アボカド</t>
    <phoneticPr fontId="2" type="Hiragana"/>
  </si>
  <si>
    <t>カニカマ</t>
    <phoneticPr fontId="2" type="Hiragana"/>
  </si>
  <si>
    <t>キュウリ</t>
    <phoneticPr fontId="2" type="Hiragana"/>
  </si>
  <si>
    <t>具</t>
    <rPh sb="0" eb="1">
      <t xml:space="preserve">ぐざい </t>
    </rPh>
    <phoneticPr fontId="2" type="Hiragana"/>
  </si>
  <si>
    <t>カリフォルニアロール</t>
    <phoneticPr fontId="2" type="Hiragana"/>
  </si>
  <si>
    <t>ハイブリッド</t>
    <phoneticPr fontId="2" type="Hiragana"/>
  </si>
  <si>
    <t>巻きずし</t>
    <rPh sb="0" eb="1">
      <t xml:space="preserve">まきすし </t>
    </rPh>
    <phoneticPr fontId="2" type="Hiragana"/>
  </si>
  <si>
    <t>ロサンゼルス</t>
    <phoneticPr fontId="2" type="Hiragana"/>
  </si>
  <si>
    <t>職人</t>
    <rPh sb="0" eb="2">
      <t xml:space="preserve">しょくにん </t>
    </rPh>
    <phoneticPr fontId="2" type="Hiragana"/>
  </si>
  <si>
    <t>のり</t>
    <phoneticPr fontId="2" type="Hiragana"/>
  </si>
  <si>
    <t>生</t>
    <rPh sb="0" eb="1">
      <t xml:space="preserve">なま </t>
    </rPh>
    <phoneticPr fontId="2" type="Hiragana"/>
  </si>
  <si>
    <t>苦手（な）</t>
    <rPh sb="0" eb="2">
      <t xml:space="preserve">にがて </t>
    </rPh>
    <phoneticPr fontId="2" type="Hiragana"/>
  </si>
  <si>
    <t>北京ダック</t>
    <rPh sb="0" eb="2">
      <t xml:space="preserve">ぺきんだっく </t>
    </rPh>
    <phoneticPr fontId="2" type="Hiragana"/>
  </si>
  <si>
    <t>北京ロール</t>
    <rPh sb="0" eb="1">
      <t xml:space="preserve">ぺきんろーる </t>
    </rPh>
    <phoneticPr fontId="2" type="Hiragana"/>
  </si>
  <si>
    <t>モッツァレラチーズ入り</t>
    <rPh sb="9" eb="10">
      <t xml:space="preserve">いり </t>
    </rPh>
    <phoneticPr fontId="2" type="Hiragana"/>
  </si>
  <si>
    <t>味付け</t>
    <rPh sb="0" eb="1">
      <t xml:space="preserve">あじつけ </t>
    </rPh>
    <phoneticPr fontId="2" type="Hiragana"/>
  </si>
  <si>
    <t>進化</t>
    <rPh sb="0" eb="1">
      <t>む</t>
    </rPh>
    <phoneticPr fontId="2" type="Hiragana"/>
  </si>
  <si>
    <t>違和感</t>
    <rPh sb="0" eb="1">
      <t>い</t>
    </rPh>
    <phoneticPr fontId="2" type="Hiragana"/>
  </si>
  <si>
    <t>動き</t>
    <rPh sb="0" eb="1">
      <t xml:space="preserve">うごき </t>
    </rPh>
    <phoneticPr fontId="2" type="Hiragana"/>
  </si>
  <si>
    <t>認証</t>
    <rPh sb="0" eb="1">
      <t>める</t>
    </rPh>
    <phoneticPr fontId="2" type="Hiragana"/>
  </si>
  <si>
    <t>制度</t>
  </si>
  <si>
    <t>せいど</t>
  </si>
  <si>
    <t>メディア</t>
    <phoneticPr fontId="2" type="Hiragana"/>
  </si>
  <si>
    <t>姿勢</t>
    <rPh sb="0" eb="2">
      <t xml:space="preserve">しせい </t>
    </rPh>
    <phoneticPr fontId="2" type="Hiragana"/>
  </si>
  <si>
    <t>バッシングする</t>
    <phoneticPr fontId="2" type="Hiragana"/>
  </si>
  <si>
    <t>調理</t>
    <rPh sb="0" eb="2">
      <t xml:space="preserve">ちょうりぎのう </t>
    </rPh>
    <phoneticPr fontId="2" type="Hiragana"/>
  </si>
  <si>
    <t>技能</t>
  </si>
  <si>
    <t>ガイドライン</t>
    <phoneticPr fontId="2" type="Hiragana"/>
  </si>
  <si>
    <t>自国</t>
    <rPh sb="0" eb="2">
      <t xml:space="preserve">じこく </t>
    </rPh>
    <phoneticPr fontId="2" type="Hiragana"/>
  </si>
  <si>
    <t>ナショナリズム</t>
    <phoneticPr fontId="2" type="Hiragana"/>
  </si>
  <si>
    <t>アニメ</t>
    <phoneticPr fontId="2" type="Hiragana"/>
  </si>
  <si>
    <t>ビデオゲーム</t>
    <phoneticPr fontId="2" type="Hiragana"/>
  </si>
  <si>
    <t>きっかけ</t>
    <phoneticPr fontId="2" type="Hiragana"/>
  </si>
  <si>
    <t>日本びいき</t>
    <rPh sb="0" eb="2">
      <t xml:space="preserve">にほん </t>
    </rPh>
    <phoneticPr fontId="2" type="Hiragana"/>
  </si>
  <si>
    <t>若者</t>
    <rPh sb="0" eb="2">
      <t xml:space="preserve">わかもの </t>
    </rPh>
    <phoneticPr fontId="2" type="Hiragana"/>
  </si>
  <si>
    <t>本場</t>
    <rPh sb="0" eb="2">
      <t xml:space="preserve">ほんば </t>
    </rPh>
    <phoneticPr fontId="2" type="Hiragana"/>
  </si>
  <si>
    <t>訪日する</t>
    <rPh sb="0" eb="1">
      <t>れる</t>
    </rPh>
    <phoneticPr fontId="2" type="Hiragana"/>
  </si>
  <si>
    <t>近年</t>
    <rPh sb="0" eb="1">
      <t xml:space="preserve">きんねん </t>
    </rPh>
    <phoneticPr fontId="2" type="Hiragana"/>
  </si>
  <si>
    <t>ライスバーガー</t>
    <phoneticPr fontId="2" type="Hiragana"/>
  </si>
  <si>
    <t>ブリトー</t>
    <phoneticPr fontId="2" type="Hiragana"/>
  </si>
  <si>
    <t>ユニーク</t>
    <phoneticPr fontId="2" type="Hiragana"/>
  </si>
  <si>
    <t>変化する</t>
    <rPh sb="0" eb="2">
      <t xml:space="preserve">へんかする </t>
    </rPh>
    <phoneticPr fontId="2" type="Hiragana"/>
  </si>
  <si>
    <t>逆</t>
    <rPh sb="0" eb="1">
      <t xml:space="preserve">ぎゃく ゆにゅう </t>
    </rPh>
    <phoneticPr fontId="2" type="Hiragana"/>
  </si>
  <si>
    <t>話題</t>
    <rPh sb="0" eb="2">
      <t xml:space="preserve">わだい </t>
    </rPh>
    <phoneticPr fontId="2" type="Hiragana"/>
  </si>
  <si>
    <t>国際交流</t>
    <rPh sb="0" eb="2">
      <t xml:space="preserve">こくさい </t>
    </rPh>
    <rPh sb="2" eb="4">
      <t xml:space="preserve">こうりゅう </t>
    </rPh>
    <phoneticPr fontId="2" type="Hiragana"/>
  </si>
  <si>
    <t>正統性</t>
    <rPh sb="0" eb="3">
      <t xml:space="preserve">せいとうせい </t>
    </rPh>
    <phoneticPr fontId="2" type="Hiragana"/>
  </si>
  <si>
    <t>変化</t>
    <rPh sb="0" eb="1">
      <t>わった</t>
    </rPh>
    <phoneticPr fontId="2" type="Hiragana"/>
  </si>
  <si>
    <t>＊1</t>
    <phoneticPr fontId="2"/>
  </si>
  <si>
    <t>＊1</t>
  </si>
  <si>
    <t>戦い</t>
    <rPh sb="0" eb="1">
      <t xml:space="preserve">たたかい </t>
    </rPh>
    <phoneticPr fontId="2" type="Hiragana"/>
  </si>
  <si>
    <t>＊2</t>
    <phoneticPr fontId="2"/>
  </si>
  <si>
    <t>農林水産省</t>
    <rPh sb="0" eb="5">
      <t xml:space="preserve">のうりんすいさんしょう </t>
    </rPh>
    <phoneticPr fontId="2" type="Hiragana"/>
  </si>
  <si>
    <t>平成</t>
    <rPh sb="0" eb="2">
      <t xml:space="preserve">へいせい </t>
    </rPh>
    <phoneticPr fontId="2" type="Hiragana"/>
  </si>
  <si>
    <t>gender</t>
  </si>
  <si>
    <t>カップル</t>
  </si>
  <si>
    <t>しだいに</t>
    <phoneticPr fontId="2"/>
  </si>
  <si>
    <t>デリシャス</t>
  </si>
  <si>
    <t>easy</t>
  </si>
  <si>
    <t>one cause</t>
  </si>
  <si>
    <t>ファストフード</t>
  </si>
  <si>
    <t>ファミリーレストラン</t>
  </si>
  <si>
    <t>side dish</t>
    <phoneticPr fontId="2"/>
  </si>
  <si>
    <t>healthy</t>
    <phoneticPr fontId="2"/>
  </si>
  <si>
    <t>than</t>
    <phoneticPr fontId="2"/>
  </si>
  <si>
    <t>appearance</t>
    <phoneticPr fontId="2"/>
  </si>
  <si>
    <t>traditional</t>
    <phoneticPr fontId="2"/>
  </si>
  <si>
    <t>diverse</t>
    <phoneticPr fontId="2"/>
  </si>
  <si>
    <t>to use</t>
    <phoneticPr fontId="2"/>
  </si>
  <si>
    <t>tableware</t>
    <phoneticPr fontId="2"/>
  </si>
  <si>
    <t>nature</t>
    <phoneticPr fontId="2"/>
  </si>
  <si>
    <t>situation</t>
    <phoneticPr fontId="2"/>
  </si>
  <si>
    <t>one plate</t>
    <phoneticPr fontId="2"/>
  </si>
  <si>
    <t>注釈</t>
    <rPh sb="0" eb="2">
      <t xml:space="preserve">チュウシャク </t>
    </rPh>
    <phoneticPr fontId="2"/>
  </si>
  <si>
    <t>to love</t>
    <phoneticPr fontId="2"/>
  </si>
  <si>
    <t>導入</t>
    <rPh sb="0" eb="2">
      <t xml:space="preserve">どうにゅうし </t>
    </rPh>
    <phoneticPr fontId="2" type="Hiragana"/>
  </si>
  <si>
    <t>推奨</t>
    <rPh sb="0" eb="2">
      <t xml:space="preserve">すいしょうする </t>
    </rPh>
    <phoneticPr fontId="2" type="Hiragana"/>
  </si>
  <si>
    <t>Japanese monetary unit</t>
  </si>
  <si>
    <t>business</t>
  </si>
  <si>
    <t>Japanese food</t>
  </si>
  <si>
    <t>noodles</t>
  </si>
  <si>
    <t>one soup and three side dishes</t>
  </si>
  <si>
    <t>to imagine</t>
  </si>
  <si>
    <t xml:space="preserve">grilled chicken skewers </t>
  </si>
  <si>
    <t xml:space="preserve">addictive </t>
  </si>
  <si>
    <t>grilled fish</t>
  </si>
  <si>
    <t>tofu; soybean curd</t>
  </si>
  <si>
    <t>to get better</t>
  </si>
  <si>
    <t xml:space="preserve">combination </t>
  </si>
  <si>
    <t xml:space="preserve">health </t>
  </si>
  <si>
    <t>dining table</t>
  </si>
  <si>
    <t>（～を）想像する</t>
  </si>
  <si>
    <t>（～を）そうぞうする</t>
  </si>
  <si>
    <t>（～を）組み合わせる</t>
  </si>
  <si>
    <t>（～を）くみあわせる</t>
  </si>
  <si>
    <t>（～が）並ぶ</t>
  </si>
  <si>
    <t>（～が）ならぶ</t>
  </si>
  <si>
    <t>（～が）よくなる</t>
  </si>
  <si>
    <t>（～に）挑戦する</t>
  </si>
  <si>
    <t>（～に）ちょうせんする</t>
  </si>
  <si>
    <t>（～を）消す</t>
  </si>
  <si>
    <t>（～を）けす</t>
  </si>
  <si>
    <t>（～を）説明する</t>
  </si>
  <si>
    <t>（～を）せつめいする</t>
  </si>
  <si>
    <t>（～を）用いる</t>
  </si>
  <si>
    <t>（～を）もちいる</t>
  </si>
  <si>
    <t xml:space="preserve">to disappear </t>
  </si>
  <si>
    <t>to choose</t>
  </si>
  <si>
    <t xml:space="preserve">to explain </t>
  </si>
  <si>
    <t xml:space="preserve">keyword </t>
  </si>
  <si>
    <t>word</t>
  </si>
  <si>
    <t>to give (an example)</t>
  </si>
  <si>
    <t>（～を）通じて</t>
  </si>
  <si>
    <t>（～を）つうじて</t>
  </si>
  <si>
    <t>through</t>
  </si>
  <si>
    <t>低め</t>
  </si>
  <si>
    <t>ひくめ</t>
  </si>
  <si>
    <t>fermented soybeans</t>
  </si>
  <si>
    <t>はっこうしょくひん</t>
  </si>
  <si>
    <t>fermented food</t>
  </si>
  <si>
    <t>long and narrow</t>
  </si>
  <si>
    <t xml:space="preserve">food ingredients </t>
  </si>
  <si>
    <t>arrangement of food</t>
  </si>
  <si>
    <t>（〜を）感じる</t>
  </si>
  <si>
    <t>（〜を）加える</t>
  </si>
  <si>
    <t xml:space="preserve">to represent </t>
  </si>
  <si>
    <t>event</t>
  </si>
  <si>
    <t xml:space="preserve">cultural </t>
  </si>
  <si>
    <t>（〜を）登録する</t>
  </si>
  <si>
    <t>（〜を）とうろくする</t>
  </si>
  <si>
    <t>（〜て）久しい</t>
  </si>
  <si>
    <t>（〜て）ひさしい</t>
  </si>
  <si>
    <t xml:space="preserve">after </t>
  </si>
  <si>
    <t>えんじょぶっし</t>
  </si>
  <si>
    <t>school lunch</t>
  </si>
  <si>
    <t>（〜を）贈る</t>
  </si>
  <si>
    <t>（〜を）おくる</t>
  </si>
  <si>
    <t>bread-centered diet</t>
  </si>
  <si>
    <t>こめ</t>
  </si>
  <si>
    <t>rice</t>
  </si>
  <si>
    <t>（〜が）減少する</t>
  </si>
  <si>
    <t>（〜が）げんしょうする</t>
  </si>
  <si>
    <t>processed food</t>
  </si>
  <si>
    <t>（〜を）出す</t>
  </si>
  <si>
    <t>（〜を）だす</t>
  </si>
  <si>
    <t>（〜を）好む</t>
  </si>
  <si>
    <t>（〜を）このむ</t>
  </si>
  <si>
    <t xml:space="preserve">to prefer </t>
  </si>
  <si>
    <t>（〜を）見直す</t>
  </si>
  <si>
    <t>（〜を）みなおす</t>
  </si>
  <si>
    <t>to take another look</t>
  </si>
  <si>
    <t>（〜を）取り入れる</t>
  </si>
  <si>
    <t>（〜を）とりいれる</t>
  </si>
  <si>
    <t>簡単に</t>
  </si>
  <si>
    <t>かんたんに</t>
  </si>
  <si>
    <t>easily</t>
  </si>
  <si>
    <t>しなかず</t>
  </si>
  <si>
    <t>（〜を）提案する</t>
  </si>
  <si>
    <t>（〜を）ていあんする</t>
  </si>
  <si>
    <t>olive oil</t>
  </si>
  <si>
    <t>（〜を）くわえる</t>
  </si>
  <si>
    <t>絶えず</t>
  </si>
  <si>
    <t>たえず</t>
  </si>
  <si>
    <t>constantly</t>
  </si>
  <si>
    <t>to change</t>
  </si>
  <si>
    <t>food</t>
  </si>
  <si>
    <t>hometown</t>
  </si>
  <si>
    <t>name of the region</t>
  </si>
  <si>
    <t>Tohoku</t>
  </si>
  <si>
    <t>Chubu</t>
  </si>
  <si>
    <t xml:space="preserve">Kanto </t>
  </si>
  <si>
    <t>Chugoku</t>
  </si>
  <si>
    <t>Kinki</t>
  </si>
  <si>
    <t>food ingredients</t>
  </si>
  <si>
    <t>（〜を）想像する</t>
  </si>
  <si>
    <t>（〜を）そうぞうする</t>
  </si>
  <si>
    <t>（〜を）囲む</t>
  </si>
  <si>
    <t>（〜を）かこむ</t>
  </si>
  <si>
    <t xml:space="preserve">to surround </t>
  </si>
  <si>
    <t>（〜を）占める</t>
  </si>
  <si>
    <t>（〜を）しめる</t>
  </si>
  <si>
    <t xml:space="preserve">territory of a country </t>
  </si>
  <si>
    <t>（〜を）育む</t>
  </si>
  <si>
    <t>（〜を）はぐくむ</t>
  </si>
  <si>
    <t>as much as one wants</t>
  </si>
  <si>
    <t>（〜に）感動する</t>
  </si>
  <si>
    <t>（〜に）かんどうする</t>
  </si>
  <si>
    <t>warm</t>
  </si>
  <si>
    <t xml:space="preserve">local specialty </t>
  </si>
  <si>
    <t>salmon</t>
  </si>
  <si>
    <t>食い倒れ</t>
  </si>
  <si>
    <t>くいだおれ</t>
  </si>
  <si>
    <t>eat-'till-you-drop</t>
  </si>
  <si>
    <t>（〜に）話しかける</t>
  </si>
  <si>
    <t>（〜に）はなしかける</t>
  </si>
  <si>
    <t>（〜を）かんじる</t>
  </si>
  <si>
    <t>plateau</t>
  </si>
  <si>
    <t>buckwheat</t>
  </si>
  <si>
    <t>to bloom in profusion</t>
  </si>
  <si>
    <t>（〜が）咲き乱れる</t>
  </si>
  <si>
    <t>（〜が）さきみだれる</t>
  </si>
  <si>
    <t>すずしい</t>
  </si>
  <si>
    <t>exceptional</t>
  </si>
  <si>
    <t>artificial island in Nagasaki</t>
  </si>
  <si>
    <t>contact point</t>
  </si>
  <si>
    <t>influence</t>
  </si>
  <si>
    <t>origin</t>
  </si>
  <si>
    <t>dish of noodles with seafood and vegetables</t>
  </si>
  <si>
    <t xml:space="preserve">the most   </t>
  </si>
  <si>
    <t>to be fond of</t>
  </si>
  <si>
    <t>（〜を）気に入る</t>
  </si>
  <si>
    <t>（〜を）きにいる</t>
  </si>
  <si>
    <t xml:space="preserve">Castella cake </t>
  </si>
  <si>
    <t>confectionery</t>
  </si>
  <si>
    <t>each place</t>
  </si>
  <si>
    <t>by</t>
  </si>
  <si>
    <t>（〜が）減る</t>
  </si>
  <si>
    <t>（〜が）へる</t>
  </si>
  <si>
    <t>（〜が）縮小する</t>
  </si>
  <si>
    <t>（〜が）しゅくしょうする</t>
  </si>
  <si>
    <t xml:space="preserve">tourist </t>
  </si>
  <si>
    <t>（〜を）もたらす</t>
  </si>
  <si>
    <t>low birthrate and aging society</t>
  </si>
  <si>
    <t>economy</t>
  </si>
  <si>
    <t>（〜を）失う</t>
  </si>
  <si>
    <t>（〜を）うしなう</t>
  </si>
  <si>
    <t>to lose</t>
  </si>
  <si>
    <t>（〜を）掘り起こす</t>
  </si>
  <si>
    <t>（〜を）ほりおこす</t>
  </si>
  <si>
    <t>（〜を）目指す</t>
  </si>
  <si>
    <t>（〜を）めざす</t>
  </si>
  <si>
    <t>（〜に）注目する</t>
  </si>
  <si>
    <t>（〜に）ちゅうもくする</t>
  </si>
  <si>
    <t>（〜に）つながる</t>
  </si>
  <si>
    <t>to be in the process of doing ~</t>
  </si>
  <si>
    <t xml:space="preserve">to aim at </t>
  </si>
  <si>
    <t xml:space="preserve">to pay attention to </t>
  </si>
  <si>
    <t xml:space="preserve">part of </t>
  </si>
  <si>
    <t xml:space="preserve">to be connected to </t>
  </si>
  <si>
    <t>Shikoku</t>
  </si>
  <si>
    <t>thick udon from Kagawa prefecture</t>
  </si>
  <si>
    <t>（〜を）訪れる</t>
  </si>
  <si>
    <t>（〜を）おとずれる</t>
  </si>
  <si>
    <t>（〜を）学ぶ</t>
  </si>
  <si>
    <t>（〜を）まなぶ</t>
  </si>
  <si>
    <t>to learn</t>
  </si>
  <si>
    <t>（〜を）散策する</t>
  </si>
  <si>
    <t>（〜を）さんさくする</t>
  </si>
  <si>
    <t>（〜を）体験する</t>
  </si>
  <si>
    <t>（〜を）たいけんする</t>
  </si>
  <si>
    <t>（〜を）愛す</t>
  </si>
  <si>
    <t>（〜を）あいす</t>
  </si>
  <si>
    <t>restaurant hopping</t>
  </si>
  <si>
    <t>（〜に）成功する</t>
  </si>
  <si>
    <t>（〜に）せいこうする</t>
  </si>
  <si>
    <t>to succeed</t>
  </si>
  <si>
    <t>Fujinomiya city</t>
  </si>
  <si>
    <t>Japanese stir fried noodles</t>
  </si>
  <si>
    <t>thick noodles</t>
  </si>
  <si>
    <t>（〜を）発信する</t>
  </si>
  <si>
    <t>（〜を）はっしんする</t>
  </si>
  <si>
    <t>（〜を）開催する</t>
  </si>
  <si>
    <t>（〜を）かいさいする</t>
  </si>
  <si>
    <t>優勝する</t>
  </si>
  <si>
    <t xml:space="preserve">りょこうしゃ </t>
  </si>
  <si>
    <t>travel agency</t>
  </si>
  <si>
    <t xml:space="preserve">advertisement </t>
  </si>
  <si>
    <t>（〜に）努める</t>
  </si>
  <si>
    <t>（〜に）つとめる</t>
  </si>
  <si>
    <t xml:space="preserve">to strive </t>
  </si>
  <si>
    <t>festival</t>
  </si>
  <si>
    <t>to win (a grand prize)</t>
  </si>
  <si>
    <t xml:space="preserve">traveler </t>
  </si>
  <si>
    <t>（〜を）消費する</t>
  </si>
  <si>
    <t>（〜を）しょうひする</t>
  </si>
  <si>
    <t xml:space="preserve">to consume </t>
  </si>
  <si>
    <t>transportation</t>
  </si>
  <si>
    <t>fresh</t>
  </si>
  <si>
    <t>（〜を）増やす</t>
  </si>
  <si>
    <t>（〜を）ふやす</t>
  </si>
  <si>
    <t>to increase</t>
  </si>
  <si>
    <t xml:space="preserve">school lunch </t>
  </si>
  <si>
    <t xml:space="preserve">to incorporate </t>
  </si>
  <si>
    <t>取り組み</t>
  </si>
  <si>
    <t>とりくみ</t>
  </si>
  <si>
    <t xml:space="preserve">producer </t>
  </si>
  <si>
    <t>（〜を）応援する</t>
  </si>
  <si>
    <t>（〜を）おうえんする</t>
  </si>
  <si>
    <t>発展</t>
  </si>
  <si>
    <t xml:space="preserve">sustainable </t>
  </si>
  <si>
    <t>はってん</t>
  </si>
  <si>
    <t>（〜を）支える</t>
  </si>
  <si>
    <t>（〜を）ささえる</t>
  </si>
  <si>
    <t>to support</t>
  </si>
  <si>
    <t>（〜に）向ける</t>
  </si>
  <si>
    <t>（〜に）むける</t>
  </si>
  <si>
    <t>cooking recipe</t>
  </si>
  <si>
    <t>generation</t>
  </si>
  <si>
    <t>やくだつ</t>
  </si>
  <si>
    <t>役立つ</t>
  </si>
  <si>
    <t>to be useful</t>
  </si>
  <si>
    <t xml:space="preserve">accessible </t>
  </si>
  <si>
    <t>江戸時代</t>
  </si>
  <si>
    <t>えどじだい</t>
  </si>
  <si>
    <t>Edo period</t>
  </si>
  <si>
    <t xml:space="preserve">name </t>
  </si>
  <si>
    <t>people</t>
  </si>
  <si>
    <t>（〜が）整う</t>
  </si>
  <si>
    <t>（〜が）ととのう</t>
  </si>
  <si>
    <t>century</t>
  </si>
  <si>
    <t xml:space="preserve">center </t>
  </si>
  <si>
    <t>（〜が）発展する</t>
  </si>
  <si>
    <t>（〜が）はってんする</t>
  </si>
  <si>
    <t xml:space="preserve">to develop </t>
  </si>
  <si>
    <t>（〜を）超える</t>
  </si>
  <si>
    <t>（〜を）こえる</t>
  </si>
  <si>
    <t>（〜が）向上する</t>
  </si>
  <si>
    <t>（〜が）こうじょうする</t>
  </si>
  <si>
    <t xml:space="preserve">to improve </t>
  </si>
  <si>
    <t>（〜に）対する</t>
  </si>
  <si>
    <t>（〜に）たいする</t>
  </si>
  <si>
    <t>towards</t>
  </si>
  <si>
    <t>（〜が）高まる</t>
  </si>
  <si>
    <t>（〜が）たかまる</t>
  </si>
  <si>
    <t>（〜に）移住する</t>
  </si>
  <si>
    <t>（〜に）いじゅうする</t>
  </si>
  <si>
    <t>おおく</t>
  </si>
  <si>
    <t>（〜を）満たす</t>
  </si>
  <si>
    <t>（〜を）みたす</t>
  </si>
  <si>
    <t>（〜が）発達する</t>
  </si>
  <si>
    <t>（〜が）はったつする</t>
  </si>
  <si>
    <t>grilled eel</t>
  </si>
  <si>
    <t>sweet drink made from fermented rice</t>
  </si>
  <si>
    <t>in other words</t>
  </si>
  <si>
    <t>（〜が）現れる</t>
  </si>
  <si>
    <t>（〜が）あらわれる</t>
  </si>
  <si>
    <t xml:space="preserve">custom </t>
  </si>
  <si>
    <t>（〜が）広まる</t>
  </si>
  <si>
    <t>（〜が）ひろまる</t>
  </si>
  <si>
    <t>to spread</t>
  </si>
  <si>
    <t>place</t>
  </si>
  <si>
    <t>such</t>
  </si>
  <si>
    <t>wealthy</t>
  </si>
  <si>
    <t xml:space="preserve">banquet </t>
  </si>
  <si>
    <t>（〜を）提供する</t>
  </si>
  <si>
    <t>（〜を）ていきょうする</t>
  </si>
  <si>
    <t>（〜を）交える</t>
  </si>
  <si>
    <t>（〜を）まじえる</t>
  </si>
  <si>
    <t xml:space="preserve">raw sliced fish </t>
  </si>
  <si>
    <t>grilled dish</t>
  </si>
  <si>
    <t>simmered dish</t>
  </si>
  <si>
    <t xml:space="preserve">base </t>
  </si>
  <si>
    <t>wedding ceremony</t>
  </si>
  <si>
    <t>明治時代</t>
  </si>
  <si>
    <t>めいじじだい</t>
  </si>
  <si>
    <t>Meiji Period</t>
  </si>
  <si>
    <t>うなぎのかばやき</t>
  </si>
  <si>
    <t>to draw</t>
  </si>
  <si>
    <t>（～を）描く</t>
  </si>
  <si>
    <t>（～を）かく</t>
  </si>
  <si>
    <t>impression</t>
  </si>
  <si>
    <t xml:space="preserve">century </t>
  </si>
  <si>
    <t>new administration</t>
  </si>
  <si>
    <t>（～を）取り入れる</t>
  </si>
  <si>
    <t>（～を）とりいれる</t>
  </si>
  <si>
    <t>postal service</t>
  </si>
  <si>
    <t>infrastructure development</t>
  </si>
  <si>
    <t>modernization</t>
  </si>
  <si>
    <t>to aim at</t>
  </si>
  <si>
    <t>（～を）目指す</t>
  </si>
  <si>
    <t>（～を）めざす</t>
  </si>
  <si>
    <t>movement</t>
  </si>
  <si>
    <t>（～を）与える</t>
  </si>
  <si>
    <t>（～を）あたえる</t>
  </si>
  <si>
    <t>たぶーしする</t>
  </si>
  <si>
    <t>to consider something taboo</t>
  </si>
  <si>
    <t>（～を）認める</t>
  </si>
  <si>
    <t>（～を）みとめる</t>
  </si>
  <si>
    <t>（～が）流行する</t>
  </si>
  <si>
    <t>（～が）りゅうこうする</t>
  </si>
  <si>
    <t xml:space="preserve">traditional </t>
  </si>
  <si>
    <t>cooking method</t>
  </si>
  <si>
    <t>（～を）煮込む</t>
  </si>
  <si>
    <t>（～を）にこむ</t>
  </si>
  <si>
    <t xml:space="preserve">city </t>
  </si>
  <si>
    <t xml:space="preserve">to become popular </t>
  </si>
  <si>
    <t>current</t>
  </si>
  <si>
    <t>sugar</t>
  </si>
  <si>
    <t>（～を）味付けする</t>
  </si>
  <si>
    <t>（～を）あじつけする</t>
  </si>
  <si>
    <t>to feel</t>
  </si>
  <si>
    <t>（～を）感じる</t>
  </si>
  <si>
    <t>（～を）かんじる</t>
  </si>
  <si>
    <t>preference</t>
  </si>
  <si>
    <t>（～に）合わせる</t>
  </si>
  <si>
    <t>（～に）あわせる</t>
  </si>
  <si>
    <t>to suit</t>
  </si>
  <si>
    <t>（～を）アレンジする</t>
  </si>
  <si>
    <t>（～を）あれんじする</t>
  </si>
  <si>
    <t>（～を）調理する</t>
  </si>
  <si>
    <t>（～を）ちょうりする</t>
  </si>
  <si>
    <t>（～を）加える</t>
  </si>
  <si>
    <t>（～を）くわえる</t>
  </si>
  <si>
    <t xml:space="preserve">to add </t>
  </si>
  <si>
    <t>（～へ）渡る</t>
  </si>
  <si>
    <t>（～へ）わたる</t>
  </si>
  <si>
    <t>（～を）刊行する</t>
  </si>
  <si>
    <t>（～を）かんこうする</t>
  </si>
  <si>
    <t xml:space="preserve">to cross over </t>
  </si>
  <si>
    <t>to publish</t>
  </si>
  <si>
    <t>sea bream</t>
  </si>
  <si>
    <t xml:space="preserve">additionally </t>
  </si>
  <si>
    <t xml:space="preserve">to combine </t>
  </si>
  <si>
    <t xml:space="preserve">curry udon </t>
  </si>
  <si>
    <t>（～を）生み出す</t>
  </si>
  <si>
    <t>（～を）うみだす</t>
  </si>
  <si>
    <t>（～を）愛す</t>
  </si>
  <si>
    <t>（～を）あいす</t>
  </si>
  <si>
    <t>unexpected</t>
  </si>
  <si>
    <t>modern nation</t>
  </si>
  <si>
    <t>formative period</t>
  </si>
  <si>
    <t>（～と）共に</t>
  </si>
  <si>
    <t>（～と）ともに</t>
  </si>
  <si>
    <t>（～に）出会う</t>
  </si>
  <si>
    <t>（～に）であう</t>
  </si>
  <si>
    <t xml:space="preserve">to encounter </t>
  </si>
  <si>
    <t>（～を）比較する</t>
  </si>
  <si>
    <t>（～を）ひかくする</t>
  </si>
  <si>
    <t>interest</t>
  </si>
  <si>
    <t>（～を）融合する</t>
  </si>
  <si>
    <t>（～を）ゆうごうする</t>
  </si>
  <si>
    <t xml:space="preserve">charm </t>
  </si>
  <si>
    <t>（～が）発展する</t>
  </si>
  <si>
    <t>（～が）はってん</t>
  </si>
  <si>
    <t>（～を）超える</t>
  </si>
  <si>
    <t>（～を）こえる</t>
  </si>
  <si>
    <t>fusion</t>
  </si>
  <si>
    <t>globalization</t>
  </si>
  <si>
    <t>ぐろーばるか</t>
  </si>
  <si>
    <t>せんじん</t>
  </si>
  <si>
    <t>various</t>
  </si>
  <si>
    <t xml:space="preserve">ramen </t>
  </si>
  <si>
    <t>popularity</t>
  </si>
  <si>
    <t>soup</t>
  </si>
  <si>
    <t>pig bone</t>
  </si>
  <si>
    <t>数ある</t>
  </si>
  <si>
    <t>かずある</t>
  </si>
  <si>
    <t xml:space="preserve">a number of </t>
  </si>
  <si>
    <t>treasure hunting</t>
  </si>
  <si>
    <t>originally</t>
  </si>
  <si>
    <t xml:space="preserve">latter half </t>
  </si>
  <si>
    <t>around</t>
  </si>
  <si>
    <t>China</t>
  </si>
  <si>
    <t xml:space="preserve">current </t>
  </si>
  <si>
    <t>prototype</t>
  </si>
  <si>
    <t>Tokyo</t>
  </si>
  <si>
    <t>World War II</t>
  </si>
  <si>
    <t>（～が）確立する</t>
  </si>
  <si>
    <t>（～が）かくりつする</t>
  </si>
  <si>
    <t>（～が）高まる</t>
  </si>
  <si>
    <t>（～が）たかまる</t>
  </si>
  <si>
    <t>（～を）見かける</t>
  </si>
  <si>
    <t>（～が）広がる</t>
  </si>
  <si>
    <t>（～を）みかける</t>
  </si>
  <si>
    <t>（～が）ひろがる</t>
  </si>
  <si>
    <t>ニューヨーク</t>
  </si>
  <si>
    <t>wheat</t>
  </si>
  <si>
    <t xml:space="preserve">common people </t>
  </si>
  <si>
    <t>overseas</t>
  </si>
  <si>
    <t>city</t>
  </si>
  <si>
    <t>overseas expansion</t>
  </si>
  <si>
    <t>manager</t>
  </si>
  <si>
    <t>ぶーむ</t>
  </si>
  <si>
    <t>popular boom</t>
  </si>
  <si>
    <t>name of a ramen restaurant</t>
  </si>
  <si>
    <t>（～を）すする</t>
  </si>
  <si>
    <t>みりょく</t>
  </si>
  <si>
    <t>to slurp</t>
  </si>
  <si>
    <t>charm</t>
  </si>
  <si>
    <t>New York</t>
  </si>
  <si>
    <t>前面に出す</t>
  </si>
  <si>
    <t>ぜんめんにだす</t>
  </si>
  <si>
    <t>to highlight</t>
  </si>
  <si>
    <t xml:space="preserve">chain store </t>
  </si>
  <si>
    <t>（〜を）果たす</t>
  </si>
  <si>
    <t>（〜を）はたす</t>
  </si>
  <si>
    <t>noodles (Chinese)</t>
  </si>
  <si>
    <t>Korea</t>
  </si>
  <si>
    <t>noodles (Korean)</t>
  </si>
  <si>
    <t xml:space="preserve">Vietnam </t>
  </si>
  <si>
    <t>noodles (Vietnamese)</t>
  </si>
  <si>
    <t>Italy</t>
  </si>
  <si>
    <t>せかいじゅう</t>
  </si>
  <si>
    <t>（〜を）巻き込む</t>
  </si>
  <si>
    <t>（〜を）まきこむ</t>
  </si>
  <si>
    <t>ingredients</t>
  </si>
  <si>
    <t>localization</t>
  </si>
  <si>
    <t>immitation crab</t>
  </si>
  <si>
    <t>rolled sushi</t>
  </si>
  <si>
    <t>もとは</t>
  </si>
  <si>
    <t>（〜を）考案する</t>
  </si>
  <si>
    <t>（〜を）こうあんする</t>
  </si>
  <si>
    <t>（〜を）伝える</t>
  </si>
  <si>
    <t>（〜を）つたえる</t>
  </si>
  <si>
    <t>to inform</t>
  </si>
  <si>
    <t>政府</t>
  </si>
  <si>
    <t>せいふ</t>
  </si>
  <si>
    <t>差別化する</t>
  </si>
  <si>
    <t>さべつかする</t>
  </si>
  <si>
    <t>（〜を）許す</t>
  </si>
  <si>
    <t>（〜を）ゆるす</t>
  </si>
  <si>
    <t>attitude</t>
  </si>
  <si>
    <t>to bash</t>
  </si>
  <si>
    <t>最終的に</t>
  </si>
  <si>
    <t>さいしゅうてきに</t>
  </si>
  <si>
    <t>実現</t>
  </si>
  <si>
    <t>じつげん</t>
  </si>
  <si>
    <t>（〜に）至る</t>
  </si>
  <si>
    <t>（〜に）いたる</t>
  </si>
  <si>
    <t>（〜を）図る</t>
  </si>
  <si>
    <t>（〜を）はかる</t>
  </si>
  <si>
    <t>（〜を）規定する</t>
  </si>
  <si>
    <t>（〜を）きていする</t>
  </si>
  <si>
    <t>nationalism</t>
  </si>
  <si>
    <t xml:space="preserve">video game </t>
  </si>
  <si>
    <t>young people</t>
  </si>
  <si>
    <t>to visit Japan</t>
  </si>
  <si>
    <t xml:space="preserve">rice burger </t>
  </si>
  <si>
    <t>（〜を）アレンジする</t>
  </si>
  <si>
    <t>（〜を）あれんじする</t>
  </si>
  <si>
    <t>（〜に）進出する</t>
  </si>
  <si>
    <t>（〜に）しんしゅつする</t>
  </si>
  <si>
    <t>burrito</t>
  </si>
  <si>
    <t>（〜を）否定する</t>
  </si>
  <si>
    <t>（〜を）ひていする</t>
  </si>
  <si>
    <t>（〜に）貢献する</t>
  </si>
  <si>
    <t>（〜に）こうけんする</t>
  </si>
  <si>
    <t>（〜に）気づく</t>
  </si>
  <si>
    <t>（〜に）きづく</t>
  </si>
  <si>
    <t>（〜に）こだわる</t>
  </si>
  <si>
    <t>international exchange</t>
  </si>
  <si>
    <t>（〜が）変わる</t>
  </si>
  <si>
    <t>（〜が）かわる</t>
  </si>
  <si>
    <t>to produce</t>
  </si>
  <si>
    <t>（〜を）製作する</t>
  </si>
  <si>
    <t>（〜を）せいさくする</t>
  </si>
  <si>
    <t>（〜を）押し付ける</t>
  </si>
  <si>
    <t>（〜を）おしつける</t>
  </si>
  <si>
    <t>to impose</t>
  </si>
  <si>
    <t xml:space="preserve">battle </t>
  </si>
  <si>
    <t>（〜を）描く</t>
  </si>
  <si>
    <t>（〜を）えがく</t>
  </si>
  <si>
    <t>Heisei period</t>
  </si>
  <si>
    <t>（〜に）関する</t>
  </si>
  <si>
    <t>（〜に）かんする</t>
  </si>
  <si>
    <t xml:space="preserve">in relation to  </t>
  </si>
  <si>
    <t>（〜を）定める</t>
  </si>
  <si>
    <t>（〜を）さだめる</t>
  </si>
  <si>
    <t>to establish</t>
  </si>
  <si>
    <t>media works</t>
  </si>
  <si>
    <t>あふれる</t>
  </si>
  <si>
    <t>living alone</t>
  </si>
  <si>
    <t>以来</t>
  </si>
  <si>
    <t>curry and rice</t>
  </si>
  <si>
    <t>grilled meat</t>
  </si>
  <si>
    <t>home</t>
  </si>
  <si>
    <t>（〜を）渡す</t>
  </si>
  <si>
    <t>（〜を）わたす</t>
  </si>
  <si>
    <t>director</t>
  </si>
  <si>
    <t>（〜を）こめる</t>
  </si>
  <si>
    <t>someday</t>
  </si>
  <si>
    <t>（〜に）告白する</t>
  </si>
  <si>
    <t>（〜に）こくはくする</t>
  </si>
  <si>
    <t>heart icon</t>
  </si>
  <si>
    <t>unintentionally</t>
  </si>
  <si>
    <t>必死に</t>
  </si>
  <si>
    <t>ひっしに</t>
  </si>
  <si>
    <t>（〜に）共感する</t>
  </si>
  <si>
    <t>（〜に）きょうかんする</t>
  </si>
  <si>
    <t>（〜に）チャレンジする</t>
  </si>
  <si>
    <t>（〜に）ちゃれんじする</t>
  </si>
  <si>
    <t>（〜を）真似る</t>
  </si>
  <si>
    <t>（〜を）まねる</t>
  </si>
  <si>
    <t xml:space="preserve">to relate to </t>
  </si>
  <si>
    <t xml:space="preserve">to mimic </t>
  </si>
  <si>
    <t>to bring closer</t>
  </si>
  <si>
    <t>theme</t>
  </si>
  <si>
    <t>or</t>
  </si>
  <si>
    <t>to be set in</t>
  </si>
  <si>
    <t>（〜を）舞台にする</t>
  </si>
  <si>
    <t>（〜を）ぶたいにする</t>
  </si>
  <si>
    <t xml:space="preserve">trailer </t>
  </si>
  <si>
    <t>story</t>
  </si>
  <si>
    <t>to introduce</t>
  </si>
  <si>
    <t>しょうかいする</t>
  </si>
  <si>
    <t>紹介する</t>
  </si>
  <si>
    <t>共通</t>
  </si>
  <si>
    <t>きょうつう</t>
  </si>
  <si>
    <t>works</t>
  </si>
  <si>
    <t>どうし</t>
  </si>
  <si>
    <t>同士</t>
  </si>
  <si>
    <t>気軽に</t>
  </si>
  <si>
    <t>きがるに</t>
  </si>
  <si>
    <t>casually</t>
  </si>
  <si>
    <t>（〜を）営業する</t>
  </si>
  <si>
    <t>（〜を）えいぎょうする</t>
  </si>
  <si>
    <t>to operate</t>
  </si>
  <si>
    <t>周辺化する</t>
  </si>
  <si>
    <t>しゅうへんかする</t>
  </si>
  <si>
    <t>to marginalize</t>
  </si>
  <si>
    <t xml:space="preserve">tend to </t>
  </si>
  <si>
    <t>基本的に</t>
  </si>
  <si>
    <t>きほんてきに</t>
  </si>
  <si>
    <t>basically</t>
  </si>
  <si>
    <t>affection</t>
  </si>
  <si>
    <t>（〜を）与える</t>
  </si>
  <si>
    <t>（〜を）あたえる</t>
  </si>
  <si>
    <t>（〜を）扱う</t>
  </si>
  <si>
    <t>（〜を）あつかう</t>
  </si>
  <si>
    <t>（〜に）関わらず</t>
  </si>
  <si>
    <t>（〜に）かかわらず</t>
  </si>
  <si>
    <t>regardless</t>
  </si>
  <si>
    <t>main character</t>
  </si>
  <si>
    <t>（〜を）描写する</t>
  </si>
  <si>
    <t>（〜を）びょうしゃする</t>
  </si>
  <si>
    <t>（〜を）味わう</t>
  </si>
  <si>
    <t>（〜を）あじわう</t>
  </si>
  <si>
    <t>to pay attention to</t>
  </si>
  <si>
    <t xml:space="preserve">how to make </t>
  </si>
  <si>
    <t xml:space="preserve">to describe </t>
  </si>
  <si>
    <t>laughter</t>
  </si>
  <si>
    <t xml:space="preserve">scene </t>
  </si>
  <si>
    <t>（〜を）通して</t>
  </si>
  <si>
    <t>（〜を）とおして</t>
  </si>
  <si>
    <t>（〜が）深まる</t>
  </si>
  <si>
    <t>（〜が）ふかまる</t>
  </si>
  <si>
    <t>to open one's heart</t>
  </si>
  <si>
    <t xml:space="preserve">perfectionism </t>
  </si>
  <si>
    <t>to attain</t>
  </si>
  <si>
    <t>（〜を）獲得する</t>
  </si>
  <si>
    <t>（〜を）かくとくする</t>
  </si>
  <si>
    <t>（〜を）貫く</t>
  </si>
  <si>
    <t>（〜を）つらぬく</t>
  </si>
  <si>
    <t>to stick to</t>
  </si>
  <si>
    <t>（〜を）導入する</t>
  </si>
  <si>
    <t>（〜を）どうにゅうする</t>
  </si>
  <si>
    <t>timed system</t>
  </si>
  <si>
    <t>training period</t>
  </si>
  <si>
    <t>to give</t>
  </si>
  <si>
    <t>deep emotion</t>
  </si>
  <si>
    <t>to grab</t>
  </si>
  <si>
    <t>difficult</t>
  </si>
  <si>
    <t xml:space="preserve">Japanese food industory </t>
  </si>
  <si>
    <t xml:space="preserve">to succeed </t>
  </si>
  <si>
    <t>（〜を）継承する</t>
  </si>
  <si>
    <t>（〜を）招く</t>
  </si>
  <si>
    <t>（〜を）まねく</t>
  </si>
  <si>
    <t xml:space="preserve">to cause </t>
  </si>
  <si>
    <t>fabric of human relationships</t>
  </si>
  <si>
    <t>人間模様</t>
  </si>
  <si>
    <t>にんげんもよう</t>
  </si>
  <si>
    <t>（〜を）映し出す</t>
  </si>
  <si>
    <t>（〜を）うつしだす</t>
  </si>
  <si>
    <t>あらためて</t>
  </si>
  <si>
    <t>once again</t>
  </si>
  <si>
    <t>わがや</t>
  </si>
  <si>
    <t>欠かせない</t>
  </si>
  <si>
    <t>かかせない</t>
  </si>
  <si>
    <t>essential</t>
  </si>
  <si>
    <t>sweet sake</t>
  </si>
  <si>
    <t>seasoning</t>
  </si>
  <si>
    <t>（〜を）煮る</t>
  </si>
  <si>
    <t>（〜を）にる</t>
  </si>
  <si>
    <t xml:space="preserve">to simmer </t>
  </si>
  <si>
    <t>before one knows</t>
  </si>
  <si>
    <t>あたりまえ</t>
  </si>
  <si>
    <t>necessarily</t>
  </si>
  <si>
    <t>（〜を）終える</t>
  </si>
  <si>
    <t>（〜を）おえる</t>
  </si>
  <si>
    <t>to end</t>
  </si>
  <si>
    <t>favorite food</t>
  </si>
  <si>
    <t>boarding school</t>
  </si>
  <si>
    <t>（〜を）熱する</t>
  </si>
  <si>
    <t>（〜を）ねっする</t>
  </si>
  <si>
    <t>frying pan</t>
  </si>
  <si>
    <t>happy</t>
  </si>
  <si>
    <t>to heat up</t>
  </si>
  <si>
    <t>the food that is (stereotypically) appealing to men</t>
  </si>
  <si>
    <t>mother</t>
  </si>
  <si>
    <t>おふくろのあじ</t>
  </si>
  <si>
    <t>イメージする</t>
  </si>
  <si>
    <t>to image</t>
  </si>
  <si>
    <t>to distinguish</t>
  </si>
  <si>
    <t>Internet</t>
  </si>
  <si>
    <t>to search</t>
  </si>
  <si>
    <t>size of a meal</t>
  </si>
  <si>
    <t xml:space="preserve">to display </t>
  </si>
  <si>
    <t>to notice</t>
  </si>
  <si>
    <t>male</t>
  </si>
  <si>
    <t>to express</t>
  </si>
  <si>
    <t xml:space="preserve">to treat as special </t>
  </si>
  <si>
    <t>to construct</t>
  </si>
  <si>
    <t>the food that is (stereotypically) appealing to women</t>
  </si>
  <si>
    <t>Showa period</t>
  </si>
  <si>
    <t>to long for</t>
  </si>
  <si>
    <t>（〜を）結びつける</t>
  </si>
  <si>
    <t>（〜を）むすびつける</t>
  </si>
  <si>
    <t>（〜を）構築する</t>
  </si>
  <si>
    <t>（〜を）こうちくする</t>
  </si>
  <si>
    <t>（〜を）懐かしむ</t>
  </si>
  <si>
    <t>（〜を）なつかしむ</t>
  </si>
  <si>
    <t>to associate with</t>
  </si>
  <si>
    <t xml:space="preserve">dual income </t>
  </si>
  <si>
    <t>to generalize</t>
  </si>
  <si>
    <t>役割分担</t>
  </si>
  <si>
    <t>やくわりぶんたん</t>
  </si>
  <si>
    <t>awareness</t>
  </si>
  <si>
    <t>（〜を）抱え込む</t>
  </si>
  <si>
    <t>（〜を）かかえこむ</t>
  </si>
  <si>
    <t>firmly rooted</t>
  </si>
  <si>
    <t>to take upon oneself</t>
  </si>
  <si>
    <t>to exceed</t>
  </si>
  <si>
    <t>to report</t>
  </si>
  <si>
    <t>to grow up</t>
  </si>
  <si>
    <t>response</t>
  </si>
  <si>
    <t>to point out</t>
  </si>
  <si>
    <t>original brand</t>
  </si>
  <si>
    <t xml:space="preserve">to oppose </t>
  </si>
  <si>
    <t>name change</t>
  </si>
  <si>
    <t>petition</t>
  </si>
  <si>
    <t xml:space="preserve">number </t>
  </si>
  <si>
    <t>to arrive at</t>
  </si>
  <si>
    <t>values</t>
  </si>
  <si>
    <t>（〜を）変える</t>
  </si>
  <si>
    <t>（〜を）かえる</t>
  </si>
  <si>
    <t>したしみやすい</t>
  </si>
  <si>
    <t>親しみやすい</t>
  </si>
  <si>
    <t>friendly, likable</t>
  </si>
  <si>
    <t>raising awareness</t>
  </si>
  <si>
    <t xml:space="preserve">to bring to </t>
  </si>
  <si>
    <t xml:space="preserve">convenient </t>
  </si>
  <si>
    <t>cooking tool</t>
  </si>
  <si>
    <t>（〜が）増える</t>
  </si>
  <si>
    <t>（〜が）ふえる</t>
  </si>
  <si>
    <t>present days</t>
  </si>
  <si>
    <t xml:space="preserve">regardless of </t>
  </si>
  <si>
    <t>to question again</t>
  </si>
  <si>
    <t>bowl</t>
  </si>
  <si>
    <t>side dish</t>
  </si>
  <si>
    <t xml:space="preserve">to put </t>
  </si>
  <si>
    <t>（〜を）のせる</t>
  </si>
  <si>
    <t>cutlet bowl</t>
  </si>
  <si>
    <t>chicken and egg bowl</t>
  </si>
  <si>
    <t xml:space="preserve">one of a kind </t>
    <phoneticPr fontId="2"/>
  </si>
  <si>
    <t>to catch sight of</t>
    <phoneticPr fontId="2"/>
  </si>
  <si>
    <t>social advancement</t>
    <phoneticPr fontId="2"/>
  </si>
  <si>
    <t>to put in a lot of time and effort</t>
    <phoneticPr fontId="2"/>
  </si>
  <si>
    <t>pickled vegetables</t>
  </si>
  <si>
    <t>animal fat content</t>
  </si>
  <si>
    <t xml:space="preserve">it has been a while </t>
  </si>
  <si>
    <t>relief supplies</t>
  </si>
  <si>
    <t>optimization</t>
  </si>
  <si>
    <t>a large quantity</t>
  </si>
  <si>
    <t>to be impressed (by)</t>
  </si>
  <si>
    <t>to be able to enjoy</t>
    <phoneticPr fontId="2"/>
  </si>
  <si>
    <t>crunchy/crisp sound</t>
    <phoneticPr fontId="2"/>
  </si>
  <si>
    <t>カリッ（と）　</t>
    <phoneticPr fontId="2" type="Hiragana"/>
  </si>
  <si>
    <t>かりっ（と）</t>
    <phoneticPr fontId="2"/>
  </si>
  <si>
    <t>しょっかん（食べ物の）</t>
    <phoneticPr fontId="2"/>
  </si>
  <si>
    <t>homestay</t>
    <phoneticPr fontId="2"/>
  </si>
  <si>
    <t>basic</t>
    <phoneticPr fontId="2"/>
  </si>
  <si>
    <t>dining table</t>
    <phoneticPr fontId="2"/>
  </si>
  <si>
    <t>simmered/stewed dish</t>
    <phoneticPr fontId="2"/>
  </si>
  <si>
    <t>simple</t>
    <phoneticPr fontId="2"/>
  </si>
  <si>
    <t>to be arrayed</t>
    <phoneticPr fontId="2"/>
  </si>
  <si>
    <t>traditional event</t>
    <phoneticPr fontId="2"/>
  </si>
  <si>
    <t>close</t>
    <phoneticPr fontId="2"/>
  </si>
  <si>
    <t>関わり （がある）</t>
    <rPh sb="0" eb="1">
      <t xml:space="preserve">かかわる </t>
    </rPh>
    <phoneticPr fontId="2" type="Hiragana"/>
  </si>
  <si>
    <t>かかわり（がある）</t>
    <phoneticPr fontId="2" type="Hiragana"/>
  </si>
  <si>
    <t xml:space="preserve">(to be) related to </t>
    <phoneticPr fontId="2"/>
  </si>
  <si>
    <t>soybean</t>
    <phoneticPr fontId="2"/>
  </si>
  <si>
    <t>household chores</t>
    <phoneticPr fontId="2"/>
  </si>
  <si>
    <t>to be moist</t>
    <phoneticPr fontId="2"/>
  </si>
  <si>
    <t>to decline</t>
    <phoneticPr fontId="2"/>
  </si>
  <si>
    <t xml:space="preserve">to decline </t>
    <phoneticPr fontId="2"/>
  </si>
  <si>
    <t>to shrink</t>
    <phoneticPr fontId="2"/>
  </si>
  <si>
    <t>food tourism</t>
    <phoneticPr fontId="2"/>
  </si>
  <si>
    <t>tour</t>
    <phoneticPr fontId="2"/>
  </si>
  <si>
    <t xml:space="preserve">tourism resources </t>
    <phoneticPr fontId="2"/>
  </si>
  <si>
    <t>a civic group</t>
    <phoneticPr fontId="2"/>
  </si>
  <si>
    <t>livestock industry</t>
    <phoneticPr fontId="2"/>
  </si>
  <si>
    <t>food texture</t>
  </si>
  <si>
    <t>physical condition</t>
  </si>
  <si>
    <t>person who is fond of</t>
  </si>
  <si>
    <t>Western food</t>
  </si>
  <si>
    <t>traditional Japanese food</t>
  </si>
  <si>
    <t>societal shift away from washoku</t>
  </si>
  <si>
    <t>nutritional balance</t>
  </si>
  <si>
    <t>on the low side</t>
  </si>
  <si>
    <t>to give/provide</t>
  </si>
  <si>
    <t>to decline</t>
  </si>
  <si>
    <t>to serve (food)</t>
  </si>
  <si>
    <t>Western-style food</t>
  </si>
  <si>
    <t>daily life</t>
  </si>
  <si>
    <t>to suggest/propose</t>
  </si>
  <si>
    <t>Chinese</t>
  </si>
  <si>
    <t>region/area</t>
  </si>
  <si>
    <t>郷土料理</t>
  </si>
  <si>
    <t>きょうどりょうり</t>
  </si>
  <si>
    <t>local cuisine</t>
  </si>
  <si>
    <t>to cultivate</t>
  </si>
  <si>
    <t>商店街</t>
  </si>
  <si>
    <t>しょうてんがい</t>
  </si>
  <si>
    <t>production of ~</t>
  </si>
  <si>
    <t>ideal</t>
  </si>
  <si>
    <t>to bring about</t>
  </si>
  <si>
    <t>to uncover</t>
  </si>
  <si>
    <t>revitalization</t>
  </si>
  <si>
    <t>everyday meal</t>
  </si>
  <si>
    <t>Grand Prix</t>
  </si>
  <si>
    <t>initiative</t>
  </si>
  <si>
    <t>to encourage</t>
  </si>
  <si>
    <t>diversity</t>
  </si>
  <si>
    <t xml:space="preserve">soup </t>
  </si>
  <si>
    <t>to try/attempt</t>
  </si>
  <si>
    <t>加えて</t>
  </si>
  <si>
    <t>くわえて</t>
  </si>
  <si>
    <t>in addition</t>
  </si>
  <si>
    <t>完全に</t>
  </si>
  <si>
    <t>かんぜんに</t>
  </si>
  <si>
    <t>completely</t>
  </si>
  <si>
    <t>vitalizing</t>
  </si>
  <si>
    <t>samon and miso hot pot in Hokkaido</t>
  </si>
  <si>
    <t>kitchen of the nation</t>
  </si>
  <si>
    <t>number one in Japan</t>
  </si>
  <si>
    <t>shopping street</t>
  </si>
  <si>
    <t>to start a conversation</t>
  </si>
  <si>
    <t>many mountains</t>
  </si>
  <si>
    <t>こうよう</t>
  </si>
  <si>
    <t>revitalization of a town</t>
  </si>
  <si>
    <t>vitality</t>
  </si>
  <si>
    <t>~作り</t>
  </si>
  <si>
    <t>~づくり</t>
  </si>
  <si>
    <t>soft and chewy</t>
  </si>
  <si>
    <t xml:space="preserve">to convey </t>
  </si>
  <si>
    <t>B-grade gourmet</t>
  </si>
  <si>
    <t xml:space="preserve">popular </t>
  </si>
  <si>
    <t>fast food</t>
    <phoneticPr fontId="2"/>
  </si>
  <si>
    <t>湿地帯</t>
    <rPh sb="0" eb="2">
      <t xml:space="preserve">しっちたい </t>
    </rPh>
    <phoneticPr fontId="2" type="Hiragana"/>
  </si>
  <si>
    <t>しっちたい</t>
  </si>
  <si>
    <t>standard of living</t>
    <phoneticPr fontId="2"/>
  </si>
  <si>
    <t>twice</t>
  </si>
  <si>
    <t>liquor store</t>
    <phoneticPr fontId="2"/>
  </si>
  <si>
    <t>traditional Japanese-style restaurant</t>
    <phoneticPr fontId="2"/>
  </si>
  <si>
    <t>to include (someone)</t>
    <phoneticPr fontId="2"/>
  </si>
  <si>
    <t>business entertaiment</t>
    <phoneticPr fontId="2"/>
  </si>
  <si>
    <t>traditional Japanese course meal</t>
  </si>
  <si>
    <t>meat-eating</t>
    <phoneticPr fontId="2"/>
  </si>
  <si>
    <t>to simmer</t>
    <phoneticPr fontId="2"/>
  </si>
  <si>
    <t>sukiyaki</t>
  </si>
  <si>
    <t>each</t>
    <phoneticPr fontId="2"/>
  </si>
  <si>
    <t>涼しい</t>
  </si>
  <si>
    <t>humankind</t>
    <phoneticPr fontId="2"/>
  </si>
  <si>
    <t>counter for house, store, shop, etc.</t>
  </si>
  <si>
    <t>しょっかん</t>
  </si>
  <si>
    <t>Lai Lai Xuan (name of a restaurant)</t>
  </si>
  <si>
    <t xml:space="preserve">basic ingredients </t>
    <phoneticPr fontId="2"/>
  </si>
  <si>
    <t>to establish</t>
    <phoneticPr fontId="2"/>
  </si>
  <si>
    <t>California roll</t>
  </si>
  <si>
    <t xml:space="preserve">cratsman/master </t>
    <phoneticPr fontId="2"/>
  </si>
  <si>
    <t>disliked</t>
  </si>
  <si>
    <t>sushi roll with Peking duck</t>
  </si>
  <si>
    <t>to differentiate</t>
  </si>
  <si>
    <t>to regulate</t>
    <phoneticPr fontId="2"/>
  </si>
  <si>
    <t xml:space="preserve">authentic </t>
    <phoneticPr fontId="2"/>
  </si>
  <si>
    <t>Ministry of Agriculture, Forestry, and Fisheries</t>
  </si>
  <si>
    <t xml:space="preserve">じんるい </t>
  </si>
  <si>
    <t xml:space="preserve">めんるい </t>
  </si>
  <si>
    <t>さまざま（な）</t>
  </si>
  <si>
    <t>めん</t>
  </si>
  <si>
    <t xml:space="preserve">こくみんしょく </t>
  </si>
  <si>
    <t>にんき</t>
  </si>
  <si>
    <t>ぜんこく</t>
  </si>
  <si>
    <t xml:space="preserve">けん </t>
  </si>
  <si>
    <t xml:space="preserve">れつ </t>
  </si>
  <si>
    <t>とんこつ</t>
  </si>
  <si>
    <t>とっぴんぐ</t>
  </si>
  <si>
    <t>たからさがし</t>
  </si>
  <si>
    <t>もともと</t>
  </si>
  <si>
    <t>せいき</t>
  </si>
  <si>
    <t>こうはん</t>
  </si>
  <si>
    <t>ごろ</t>
  </si>
  <si>
    <t>ちゅうごく</t>
  </si>
  <si>
    <t>げんざい</t>
  </si>
  <si>
    <t>げんけい</t>
  </si>
  <si>
    <t>とうきょう</t>
  </si>
  <si>
    <t xml:space="preserve">あさくさ </t>
  </si>
  <si>
    <t>らいらいけん</t>
  </si>
  <si>
    <t>だいにじせかいたいせん</t>
  </si>
  <si>
    <t xml:space="preserve">げんりょう </t>
  </si>
  <si>
    <t>こむぎ</t>
  </si>
  <si>
    <t>たいりょう</t>
  </si>
  <si>
    <t>しょみん</t>
  </si>
  <si>
    <t xml:space="preserve">ちい </t>
  </si>
  <si>
    <t xml:space="preserve">かいがい </t>
  </si>
  <si>
    <t>いまや</t>
  </si>
  <si>
    <t>おもな</t>
  </si>
  <si>
    <t>とし</t>
  </si>
  <si>
    <t>かならず</t>
  </si>
  <si>
    <t xml:space="preserve">はいけい </t>
  </si>
  <si>
    <t xml:space="preserve">かいがい てんかい </t>
  </si>
  <si>
    <t>げんち</t>
  </si>
  <si>
    <t xml:space="preserve">けいえいしゃ </t>
  </si>
  <si>
    <t xml:space="preserve">そうしゅつ </t>
  </si>
  <si>
    <t xml:space="preserve">そくめん </t>
  </si>
  <si>
    <t xml:space="preserve">いっぷうどう </t>
  </si>
  <si>
    <t xml:space="preserve">やくわり </t>
  </si>
  <si>
    <t xml:space="preserve">めん </t>
  </si>
  <si>
    <t xml:space="preserve">かんこく </t>
  </si>
  <si>
    <t>ねんみょん</t>
  </si>
  <si>
    <t>べとなむ</t>
  </si>
  <si>
    <t>いたりあ</t>
  </si>
  <si>
    <t>ひとびと</t>
  </si>
  <si>
    <t>いんすたんと</t>
  </si>
  <si>
    <t xml:space="preserve">あんどう ももふく </t>
  </si>
  <si>
    <t xml:space="preserve">かんけいしゃ </t>
  </si>
  <si>
    <t>すし・ぽりす</t>
  </si>
  <si>
    <t>でんとうてき （な）</t>
  </si>
  <si>
    <t xml:space="preserve">ぐざい </t>
  </si>
  <si>
    <t>ならでは</t>
  </si>
  <si>
    <t>における</t>
  </si>
  <si>
    <t xml:space="preserve">にほんしょく </t>
  </si>
  <si>
    <t>ちゅうもくど</t>
  </si>
  <si>
    <t>それぞれ</t>
  </si>
  <si>
    <t xml:space="preserve">ちいき </t>
  </si>
  <si>
    <t xml:space="preserve">だいひょう </t>
  </si>
  <si>
    <t>れい</t>
  </si>
  <si>
    <t>あぼかど</t>
  </si>
  <si>
    <t>かにかま</t>
  </si>
  <si>
    <t>きゅうり</t>
  </si>
  <si>
    <t>ぐ</t>
  </si>
  <si>
    <t>はいぶりっど</t>
  </si>
  <si>
    <t>まきずし</t>
  </si>
  <si>
    <t>ろさんぜるす</t>
  </si>
  <si>
    <t xml:space="preserve">しょくにん </t>
  </si>
  <si>
    <t>のり</t>
  </si>
  <si>
    <t xml:space="preserve">なま </t>
  </si>
  <si>
    <t>にがて （な）</t>
  </si>
  <si>
    <t xml:space="preserve">じもと </t>
  </si>
  <si>
    <t>ぺきんだっく</t>
  </si>
  <si>
    <t>あじつけ</t>
  </si>
  <si>
    <t xml:space="preserve">ざいりょう </t>
  </si>
  <si>
    <t>しんか</t>
  </si>
  <si>
    <t>いわかん</t>
  </si>
  <si>
    <t>うごき</t>
  </si>
  <si>
    <t>にんしょう</t>
  </si>
  <si>
    <t>どうにゅう</t>
  </si>
  <si>
    <t xml:space="preserve">ちょうりほう </t>
  </si>
  <si>
    <t xml:space="preserve">しょくざい </t>
  </si>
  <si>
    <t>こうした</t>
  </si>
  <si>
    <t>めでぃあ</t>
  </si>
  <si>
    <t xml:space="preserve">しせい </t>
  </si>
  <si>
    <t>ばっしんぐする</t>
  </si>
  <si>
    <t>ちょうり</t>
  </si>
  <si>
    <t>ぎのう</t>
  </si>
  <si>
    <t>がいどらいん</t>
  </si>
  <si>
    <t>すいしょう</t>
  </si>
  <si>
    <t xml:space="preserve">じこく </t>
  </si>
  <si>
    <t>しょうひ</t>
  </si>
  <si>
    <t>なしょなりずむ</t>
  </si>
  <si>
    <t>あにめ</t>
  </si>
  <si>
    <t>きっかけ</t>
  </si>
  <si>
    <t>日本びいき</t>
  </si>
  <si>
    <t xml:space="preserve">わかもの </t>
  </si>
  <si>
    <t xml:space="preserve">きょうみ </t>
  </si>
  <si>
    <t xml:space="preserve">ほんば </t>
  </si>
  <si>
    <t xml:space="preserve">もくてき </t>
  </si>
  <si>
    <t>ほうにちする</t>
  </si>
  <si>
    <t>きんねん</t>
  </si>
  <si>
    <t>へんかする</t>
  </si>
  <si>
    <t>ぎゃく</t>
  </si>
  <si>
    <t xml:space="preserve">わだい </t>
  </si>
  <si>
    <t xml:space="preserve">こくさい こうりゅう </t>
  </si>
  <si>
    <t xml:space="preserve">せいとうせい </t>
  </si>
  <si>
    <t>へんか</t>
  </si>
  <si>
    <t xml:space="preserve">すがた </t>
  </si>
  <si>
    <t>たたかい</t>
  </si>
  <si>
    <t xml:space="preserve">のうりんすいさんしょう </t>
  </si>
  <si>
    <t xml:space="preserve">へいせい </t>
  </si>
  <si>
    <t>L5</t>
    <phoneticPr fontId="3"/>
  </si>
  <si>
    <t>テーマ</t>
    <phoneticPr fontId="3"/>
  </si>
  <si>
    <t>メデイア作品</t>
    <rPh sb="4" eb="6">
      <t xml:space="preserve">さくひん </t>
    </rPh>
    <phoneticPr fontId="3" type="Hiragana"/>
  </si>
  <si>
    <t>SEC1</t>
    <phoneticPr fontId="3"/>
  </si>
  <si>
    <t>タイトル</t>
    <phoneticPr fontId="3"/>
  </si>
  <si>
    <t>アニメ</t>
    <phoneticPr fontId="3" type="Hiragana"/>
  </si>
  <si>
    <t>マンガ</t>
    <phoneticPr fontId="3" type="Hiragana"/>
  </si>
  <si>
    <t>Talk</t>
    <phoneticPr fontId="3"/>
  </si>
  <si>
    <t>食生活</t>
    <phoneticPr fontId="3" type="Hiragana"/>
  </si>
  <si>
    <t>1</t>
    <phoneticPr fontId="3"/>
  </si>
  <si>
    <t>きっかけ</t>
    <phoneticPr fontId="3" type="Hiragana"/>
  </si>
  <si>
    <t>2</t>
    <phoneticPr fontId="3"/>
  </si>
  <si>
    <t>場面</t>
    <rPh sb="0" eb="2">
      <t xml:space="preserve">ばめん </t>
    </rPh>
    <phoneticPr fontId="3" type="Hiragana"/>
  </si>
  <si>
    <t>印象</t>
  </si>
  <si>
    <t xml:space="preserve">いんしょう </t>
  </si>
  <si>
    <t>クレヨンしんちゃん</t>
    <phoneticPr fontId="3" type="Hiragana"/>
  </si>
  <si>
    <t>3</t>
    <phoneticPr fontId="3"/>
  </si>
  <si>
    <t>食卓</t>
    <phoneticPr fontId="3" type="Hiragana"/>
  </si>
  <si>
    <t>to surround</t>
  </si>
  <si>
    <t>4</t>
    <phoneticPr fontId="3"/>
  </si>
  <si>
    <t>幸福感</t>
    <rPh sb="0" eb="3">
      <t xml:space="preserve">こうふくかん </t>
    </rPh>
    <phoneticPr fontId="3" type="Hiragana"/>
  </si>
  <si>
    <t>一人暮らし</t>
    <rPh sb="0" eb="3">
      <t>ひとりぐ</t>
    </rPh>
    <phoneticPr fontId="3" type="Hiragana"/>
  </si>
  <si>
    <t>幸せ（な）</t>
    <rPh sb="0" eb="1">
      <t xml:space="preserve">しあわせ </t>
    </rPh>
    <phoneticPr fontId="3" type="Hiragana"/>
  </si>
  <si>
    <t>5</t>
    <phoneticPr fontId="3"/>
  </si>
  <si>
    <t>鍋</t>
    <rPh sb="0" eb="1">
      <t xml:space="preserve">なべ </t>
    </rPh>
    <phoneticPr fontId="3" type="Hiragana"/>
  </si>
  <si>
    <t>しゃぶしゃぶ</t>
    <phoneticPr fontId="3" type="Hiragana"/>
  </si>
  <si>
    <t>焼肉</t>
    <rPh sb="0" eb="2">
      <t xml:space="preserve">やきにく </t>
    </rPh>
    <phoneticPr fontId="3" type="Hiragana"/>
  </si>
  <si>
    <t>カレーライス</t>
    <phoneticPr fontId="3" type="Hiragana"/>
  </si>
  <si>
    <t>6</t>
    <phoneticPr fontId="3"/>
  </si>
  <si>
    <t>家庭</t>
    <rPh sb="0" eb="2">
      <t xml:space="preserve">かてい </t>
    </rPh>
    <phoneticPr fontId="3" type="Hiragana"/>
  </si>
  <si>
    <t>7</t>
    <phoneticPr fontId="3"/>
  </si>
  <si>
    <t>印象</t>
    <rPh sb="0" eb="2">
      <t xml:space="preserve">いんしょう </t>
    </rPh>
    <phoneticPr fontId="3" type="Hiragana"/>
  </si>
  <si>
    <t>8</t>
    <phoneticPr fontId="3"/>
  </si>
  <si>
    <t>給食</t>
    <rPh sb="0" eb="2">
      <t xml:space="preserve">きゅうしょく </t>
    </rPh>
    <phoneticPr fontId="3" type="Hiragana"/>
  </si>
  <si>
    <t>シーン</t>
    <phoneticPr fontId="3" type="Hiragana"/>
  </si>
  <si>
    <t>9</t>
    <phoneticPr fontId="3"/>
  </si>
  <si>
    <t>愛</t>
    <rPh sb="0" eb="1">
      <t xml:space="preserve">あい </t>
    </rPh>
    <phoneticPr fontId="3" type="Hiragana"/>
  </si>
  <si>
    <t>シンボル</t>
    <phoneticPr fontId="3" type="Hiragana"/>
  </si>
  <si>
    <t>10</t>
    <phoneticPr fontId="3"/>
  </si>
  <si>
    <t>宮崎駿</t>
    <rPh sb="0" eb="3">
      <t>みやざき</t>
    </rPh>
    <phoneticPr fontId="3" type="Hiragana"/>
  </si>
  <si>
    <t>みやざきはやお</t>
    <phoneticPr fontId="3"/>
  </si>
  <si>
    <t>監督</t>
    <rPh sb="0" eb="2">
      <t xml:space="preserve">かんとく </t>
    </rPh>
    <phoneticPr fontId="3" type="Hiragana"/>
  </si>
  <si>
    <t>となりのトトロ</t>
    <phoneticPr fontId="3" type="Hiragana"/>
  </si>
  <si>
    <t>主人公</t>
    <rPh sb="0" eb="1">
      <t>な</t>
    </rPh>
    <phoneticPr fontId="3" type="Hiragana"/>
  </si>
  <si>
    <t>main character</t>
    <phoneticPr fontId="3"/>
  </si>
  <si>
    <t>11</t>
    <phoneticPr fontId="3"/>
  </si>
  <si>
    <t>少女</t>
    <rPh sb="0" eb="2">
      <t xml:space="preserve">しょうじょ </t>
    </rPh>
    <phoneticPr fontId="3" type="Hiragana"/>
  </si>
  <si>
    <t>12</t>
    <phoneticPr fontId="3"/>
  </si>
  <si>
    <t>13</t>
    <phoneticPr fontId="3"/>
  </si>
  <si>
    <t>シンプル（な）</t>
    <phoneticPr fontId="3" type="Hiragana"/>
  </si>
  <si>
    <t>いつか</t>
    <phoneticPr fontId="3" type="Hiragana"/>
  </si>
  <si>
    <t>15</t>
    <phoneticPr fontId="3"/>
  </si>
  <si>
    <t>中学生</t>
    <rPh sb="0" eb="3">
      <t xml:space="preserve">ちゅうがくせい </t>
    </rPh>
    <phoneticPr fontId="3" type="Hiragana"/>
  </si>
  <si>
    <t>16</t>
    <phoneticPr fontId="3"/>
  </si>
  <si>
    <t>役立つ</t>
    <rPh sb="0" eb="2">
      <t xml:space="preserve">やくたつ </t>
    </rPh>
    <phoneticPr fontId="3" type="Hiragana"/>
  </si>
  <si>
    <t>to be helpful</t>
  </si>
  <si>
    <t>17</t>
    <phoneticPr fontId="3"/>
  </si>
  <si>
    <t>のり</t>
    <phoneticPr fontId="3" type="Hiragana"/>
  </si>
  <si>
    <t>ハートマーク</t>
    <phoneticPr fontId="3" type="Hiragana"/>
  </si>
  <si>
    <t>思わず</t>
    <rPh sb="0" eb="1">
      <t xml:space="preserve">おもわず </t>
    </rPh>
    <phoneticPr fontId="3" type="Hiragana"/>
  </si>
  <si>
    <t>笑顔</t>
    <rPh sb="0" eb="2">
      <t xml:space="preserve">えがお </t>
    </rPh>
    <phoneticPr fontId="3" type="Hiragana"/>
  </si>
  <si>
    <t>18</t>
    <phoneticPr fontId="3"/>
  </si>
  <si>
    <t>唐揚げ</t>
    <rPh sb="0" eb="2">
      <t xml:space="preserve">からあげ </t>
    </rPh>
    <phoneticPr fontId="3" type="Hiragana"/>
  </si>
  <si>
    <t>20</t>
    <phoneticPr fontId="3"/>
  </si>
  <si>
    <t>物語</t>
    <rPh sb="0" eb="2">
      <t xml:space="preserve">ものがたり </t>
    </rPh>
    <phoneticPr fontId="3" type="Hiragana"/>
  </si>
  <si>
    <t>21</t>
    <phoneticPr fontId="3"/>
  </si>
  <si>
    <t>近づける</t>
    <rPh sb="0" eb="1">
      <t xml:space="preserve">ちかづける </t>
    </rPh>
    <phoneticPr fontId="3" type="Hiragana"/>
  </si>
  <si>
    <t>SEC2</t>
    <phoneticPr fontId="3"/>
  </si>
  <si>
    <t>ドラマ</t>
    <phoneticPr fontId="3" type="Hiragana"/>
  </si>
  <si>
    <t>あるいは</t>
    <phoneticPr fontId="3" type="Hiragana"/>
  </si>
  <si>
    <t>深夜食堂</t>
    <rPh sb="0" eb="4">
      <t xml:space="preserve">しんやしょくどう </t>
    </rPh>
    <phoneticPr fontId="3" type="Hiragana"/>
  </si>
  <si>
    <t>きのう何食べた</t>
    <rPh sb="3" eb="5">
      <t xml:space="preserve">なにたべた </t>
    </rPh>
    <phoneticPr fontId="3" type="Hiragana"/>
  </si>
  <si>
    <t>予告</t>
    <rPh sb="0" eb="2">
      <t xml:space="preserve">よこく </t>
    </rPh>
    <phoneticPr fontId="3" type="Hiragana"/>
  </si>
  <si>
    <t>動画サイト</t>
    <rPh sb="0" eb="1">
      <t>きす</t>
    </rPh>
    <phoneticPr fontId="3" type="Hiragana"/>
  </si>
  <si>
    <t>ストーリー</t>
    <phoneticPr fontId="3" type="Hiragana"/>
  </si>
  <si>
    <t>クラスメート</t>
    <phoneticPr fontId="3" type="Hiragana"/>
  </si>
  <si>
    <t>人生</t>
    <rPh sb="0" eb="2">
      <t xml:space="preserve">じんせい </t>
    </rPh>
    <phoneticPr fontId="3" type="Hiragana"/>
  </si>
  <si>
    <t>人間</t>
    <rPh sb="0" eb="2">
      <t xml:space="preserve">にんげんかんけい </t>
    </rPh>
    <phoneticPr fontId="3" type="Hiragana"/>
  </si>
  <si>
    <t>common</t>
  </si>
  <si>
    <t>店主</t>
    <rPh sb="0" eb="2">
      <t xml:space="preserve">てんしゅ </t>
    </rPh>
    <phoneticPr fontId="3" type="Hiragana"/>
  </si>
  <si>
    <t>つながり</t>
    <phoneticPr fontId="3" type="Hiragana"/>
  </si>
  <si>
    <t>to depict</t>
  </si>
  <si>
    <t>代表的（な）</t>
    <rPh sb="0" eb="3">
      <t xml:space="preserve">だいひょうてき </t>
    </rPh>
    <phoneticPr fontId="3" type="Hiragana"/>
  </si>
  <si>
    <t>作品</t>
    <rPh sb="0" eb="2">
      <t xml:space="preserve">サクヒン </t>
    </rPh>
    <phoneticPr fontId="3"/>
  </si>
  <si>
    <t>バー</t>
    <phoneticPr fontId="3" type="Hiragana"/>
  </si>
  <si>
    <t>ママ</t>
    <phoneticPr fontId="3" type="Hiragana"/>
  </si>
  <si>
    <t>bar proprietress</t>
  </si>
  <si>
    <t>ストリップダンサー</t>
    <phoneticPr fontId="3" type="Hiragana"/>
  </si>
  <si>
    <t>ヤクザ</t>
    <phoneticPr fontId="3" type="Hiragana"/>
  </si>
  <si>
    <t>〜がち</t>
    <phoneticPr fontId="3" type="Hiragana"/>
  </si>
  <si>
    <t>リクエストする</t>
    <phoneticPr fontId="3" type="Hiragana"/>
  </si>
  <si>
    <t>思い入れ</t>
    <phoneticPr fontId="3" type="Hiragana"/>
  </si>
  <si>
    <t>エピソード</t>
    <phoneticPr fontId="3" type="Hiragana"/>
  </si>
  <si>
    <t>場</t>
    <rPh sb="0" eb="1">
      <t xml:space="preserve">ば </t>
    </rPh>
    <phoneticPr fontId="3" type="Hiragana"/>
  </si>
  <si>
    <t>温もり</t>
    <rPh sb="0" eb="1">
      <t xml:space="preserve">あたたかい </t>
    </rPh>
    <phoneticPr fontId="3" type="Hiragana"/>
  </si>
  <si>
    <t>人種</t>
    <rPh sb="0" eb="2">
      <t xml:space="preserve">じんしゅ </t>
    </rPh>
    <phoneticPr fontId="3" type="Hiragana"/>
  </si>
  <si>
    <t>職業</t>
    <rPh sb="0" eb="2">
      <t xml:space="preserve">しょくぎょう </t>
    </rPh>
    <phoneticPr fontId="3" type="Hiragana"/>
  </si>
  <si>
    <t>年齢</t>
    <rPh sb="0" eb="2">
      <t xml:space="preserve">ねんれい </t>
    </rPh>
    <phoneticPr fontId="3" type="Hiragana"/>
  </si>
  <si>
    <t>性別</t>
    <rPh sb="0" eb="2">
      <t xml:space="preserve">せいべつ </t>
    </rPh>
    <phoneticPr fontId="3" type="Hiragana"/>
  </si>
  <si>
    <t>職場</t>
    <rPh sb="0" eb="2">
      <t xml:space="preserve">しょくば </t>
    </rPh>
    <phoneticPr fontId="3" type="Hiragana"/>
  </si>
  <si>
    <t>心地よい</t>
    <rPh sb="0" eb="2">
      <t xml:space="preserve">ここちよい </t>
    </rPh>
    <phoneticPr fontId="3" type="Hiragana"/>
  </si>
  <si>
    <t>居場所</t>
    <rPh sb="0" eb="3">
      <t xml:space="preserve">いばしょ </t>
    </rPh>
    <phoneticPr fontId="3" type="Hiragana"/>
  </si>
  <si>
    <t>ゲイ</t>
    <phoneticPr fontId="3" type="Hiragana"/>
  </si>
  <si>
    <t>主人公</t>
    <rPh sb="0" eb="3">
      <t xml:space="preserve">シュジンコウ </t>
    </rPh>
    <phoneticPr fontId="3"/>
  </si>
  <si>
    <t>日常</t>
    <rPh sb="0" eb="2">
      <t xml:space="preserve">にちじょう </t>
    </rPh>
    <phoneticPr fontId="3" type="Hiragana"/>
  </si>
  <si>
    <t>マンガ原作</t>
    <rPh sb="3" eb="5">
      <t xml:space="preserve">げんさく </t>
    </rPh>
    <phoneticPr fontId="3" type="Hiragana"/>
  </si>
  <si>
    <t>to deal with</t>
  </si>
  <si>
    <t>14</t>
    <phoneticPr fontId="3"/>
  </si>
  <si>
    <t>毎回</t>
    <rPh sb="0" eb="2">
      <t xml:space="preserve">まいかい </t>
    </rPh>
    <phoneticPr fontId="3" type="Hiragana"/>
  </si>
  <si>
    <t>作り方</t>
    <rPh sb="0" eb="1">
      <t xml:space="preserve">ツクリカタ </t>
    </rPh>
    <phoneticPr fontId="3"/>
  </si>
  <si>
    <t>食卓</t>
    <rPh sb="0" eb="2">
      <t xml:space="preserve">ショクタク </t>
    </rPh>
    <phoneticPr fontId="3"/>
  </si>
  <si>
    <t xml:space="preserve">dining table </t>
  </si>
  <si>
    <t>交わす</t>
  </si>
  <si>
    <t>かわす</t>
  </si>
  <si>
    <t>to exchange</t>
  </si>
  <si>
    <t>笑い</t>
    <rPh sb="0" eb="1">
      <t xml:space="preserve">わらい </t>
    </rPh>
    <phoneticPr fontId="3" type="Hiragana"/>
  </si>
  <si>
    <t>涙</t>
    <rPh sb="0" eb="1">
      <t xml:space="preserve">なみだ </t>
    </rPh>
    <phoneticPr fontId="3" type="Hiragana"/>
  </si>
  <si>
    <t>様々（な）</t>
    <phoneticPr fontId="3"/>
  </si>
  <si>
    <t>シーン</t>
    <phoneticPr fontId="3"/>
  </si>
  <si>
    <t>周囲</t>
    <rPh sb="0" eb="1">
      <t xml:space="preserve">しゅうい </t>
    </rPh>
    <phoneticPr fontId="3" type="Hiragana"/>
  </si>
  <si>
    <t>関わり</t>
    <phoneticPr fontId="3"/>
  </si>
  <si>
    <t>to deepen</t>
  </si>
  <si>
    <t>パートナー</t>
    <phoneticPr fontId="3" type="Hiragana"/>
  </si>
  <si>
    <t>実家</t>
    <rPh sb="0" eb="2">
      <t xml:space="preserve">じっか </t>
    </rPh>
    <phoneticPr fontId="3" type="Hiragana"/>
  </si>
  <si>
    <t>お正月</t>
    <phoneticPr fontId="3" type="Hiragana"/>
  </si>
  <si>
    <t>New Year</t>
  </si>
  <si>
    <t>人々</t>
    <rPh sb="0" eb="1">
      <t xml:space="preserve">ヒトビト </t>
    </rPh>
    <phoneticPr fontId="3"/>
  </si>
  <si>
    <t>次第に</t>
    <rPh sb="0" eb="2">
      <t xml:space="preserve">しだいに </t>
    </rPh>
    <phoneticPr fontId="3" type="Hiragana"/>
  </si>
  <si>
    <t>打ち解ける</t>
    <rPh sb="0" eb="1">
      <t xml:space="preserve">うちとける </t>
    </rPh>
    <phoneticPr fontId="3" type="Hiragana"/>
  </si>
  <si>
    <t>様子</t>
    <rPh sb="0" eb="2">
      <t xml:space="preserve">ようす </t>
    </rPh>
    <phoneticPr fontId="3" type="Hiragana"/>
  </si>
  <si>
    <t>19</t>
    <phoneticPr fontId="3"/>
  </si>
  <si>
    <t>ドキュメンタリー</t>
    <phoneticPr fontId="3" type="Hiragana"/>
  </si>
  <si>
    <t>二郎は鮨の夢を見る</t>
    <rPh sb="0" eb="2">
      <t xml:space="preserve">じろう </t>
    </rPh>
    <rPh sb="3" eb="4">
      <t xml:space="preserve">すし </t>
    </rPh>
    <rPh sb="5" eb="6">
      <t xml:space="preserve">ゆめ </t>
    </rPh>
    <rPh sb="7" eb="8">
      <t xml:space="preserve">みる </t>
    </rPh>
    <phoneticPr fontId="3" type="Hiragana"/>
  </si>
  <si>
    <t>完璧主義</t>
    <rPh sb="0" eb="2">
      <t xml:space="preserve">かんぺきしゅぎ </t>
    </rPh>
    <phoneticPr fontId="3" type="Hiragana"/>
  </si>
  <si>
    <t>ミシュラン</t>
    <phoneticPr fontId="3" type="Hiragana"/>
  </si>
  <si>
    <t>伝説</t>
    <rPh sb="0" eb="2">
      <t xml:space="preserve">でんせつ </t>
    </rPh>
    <phoneticPr fontId="3" type="Hiragana"/>
  </si>
  <si>
    <t>職人</t>
    <rPh sb="0" eb="2">
      <t xml:space="preserve">しょくにん </t>
    </rPh>
    <phoneticPr fontId="3" type="Hiragana"/>
  </si>
  <si>
    <t>気質</t>
    <rPh sb="0" eb="1">
      <t xml:space="preserve">きしつ </t>
    </rPh>
    <phoneticPr fontId="3" type="Hiragana"/>
  </si>
  <si>
    <t>頑固（な）</t>
    <rPh sb="0" eb="2">
      <t xml:space="preserve">がんこ </t>
    </rPh>
    <phoneticPr fontId="3" type="Hiragana"/>
  </si>
  <si>
    <t>営業方針</t>
    <rPh sb="0" eb="1">
      <t xml:space="preserve">えいぎょうほうしん </t>
    </rPh>
    <phoneticPr fontId="3" type="Hiragana"/>
  </si>
  <si>
    <t>カウンター</t>
    <phoneticPr fontId="3" type="Hiragana"/>
  </si>
  <si>
    <t>時間制</t>
    <rPh sb="0" eb="3">
      <t xml:space="preserve">じかんせい </t>
    </rPh>
    <phoneticPr fontId="3" type="Hiragana"/>
  </si>
  <si>
    <t>to implement</t>
  </si>
  <si>
    <t>円</t>
    <rPh sb="0" eb="1">
      <t xml:space="preserve">えん </t>
    </rPh>
    <phoneticPr fontId="3" type="Hiragana"/>
  </si>
  <si>
    <t>22</t>
    <phoneticPr fontId="3"/>
  </si>
  <si>
    <t>修行期間</t>
    <rPh sb="0" eb="2">
      <t xml:space="preserve">しゅぎょう </t>
    </rPh>
    <phoneticPr fontId="3" type="Hiragana"/>
  </si>
  <si>
    <t>（〜を）経て</t>
  </si>
  <si>
    <t>（〜を）へて</t>
  </si>
  <si>
    <t>after ~</t>
  </si>
  <si>
    <t>一人前</t>
    <rPh sb="0" eb="1">
      <t xml:space="preserve">いちにんまえ </t>
    </rPh>
    <phoneticPr fontId="3" type="Hiragana"/>
  </si>
  <si>
    <t>fully qualified</t>
  </si>
  <si>
    <t>23</t>
    <phoneticPr fontId="3"/>
  </si>
  <si>
    <t>多く</t>
    <rPh sb="0" eb="1">
      <t xml:space="preserve">おおく </t>
    </rPh>
    <phoneticPr fontId="3" type="Hiragana"/>
  </si>
  <si>
    <t>おおく</t>
    <phoneticPr fontId="3"/>
  </si>
  <si>
    <t>感動</t>
    <rPh sb="0" eb="2">
      <t xml:space="preserve">かんどう </t>
    </rPh>
    <phoneticPr fontId="3" type="Hiragana"/>
  </si>
  <si>
    <t>こうした</t>
    <phoneticPr fontId="3" type="Hiragana"/>
  </si>
  <si>
    <t>生き方</t>
    <rPh sb="0" eb="1">
      <t xml:space="preserve">いきかた </t>
    </rPh>
    <phoneticPr fontId="3" type="Hiragana"/>
  </si>
  <si>
    <t>いきかた</t>
    <phoneticPr fontId="3"/>
  </si>
  <si>
    <t>24</t>
    <phoneticPr fontId="3"/>
  </si>
  <si>
    <t>現代</t>
    <rPh sb="0" eb="2">
      <t xml:space="preserve">げんだい </t>
    </rPh>
    <phoneticPr fontId="3" type="Hiragana"/>
  </si>
  <si>
    <t>若者</t>
    <rPh sb="0" eb="1">
      <t xml:space="preserve">わかもの </t>
    </rPh>
    <phoneticPr fontId="3" type="Hiragana"/>
  </si>
  <si>
    <t>つかむ</t>
    <phoneticPr fontId="3" type="Hiragana"/>
  </si>
  <si>
    <t>難しい</t>
    <rPh sb="0" eb="1">
      <t xml:space="preserve">むずかしい </t>
    </rPh>
    <phoneticPr fontId="3" type="Hiragana"/>
  </si>
  <si>
    <t>和食業界</t>
    <rPh sb="0" eb="2">
      <t xml:space="preserve">わしょく </t>
    </rPh>
    <rPh sb="2" eb="4">
      <t xml:space="preserve">ぎょうかい </t>
    </rPh>
    <phoneticPr fontId="3" type="Hiragana"/>
  </si>
  <si>
    <t>(~を）けいしょうする</t>
  </si>
  <si>
    <t>減少</t>
    <rPh sb="0" eb="2">
      <t xml:space="preserve">げんしょう </t>
    </rPh>
    <phoneticPr fontId="3" type="Hiragana"/>
  </si>
  <si>
    <t>decline</t>
  </si>
  <si>
    <t>26</t>
    <phoneticPr fontId="3"/>
  </si>
  <si>
    <t>メディア作品</t>
    <rPh sb="4" eb="5">
      <t xml:space="preserve">サクヒン </t>
    </rPh>
    <phoneticPr fontId="3"/>
  </si>
  <si>
    <t>27</t>
    <phoneticPr fontId="3"/>
  </si>
  <si>
    <t>きっかけ</t>
    <phoneticPr fontId="3"/>
  </si>
  <si>
    <t xml:space="preserve">めでぃあさくひん </t>
  </si>
  <si>
    <t>まんが</t>
  </si>
  <si>
    <t>しょくせいかつ</t>
  </si>
  <si>
    <t xml:space="preserve">ばめん </t>
  </si>
  <si>
    <t>くれよんしんちゃん</t>
  </si>
  <si>
    <t>しょくたく</t>
  </si>
  <si>
    <t xml:space="preserve">こうふくかん </t>
  </si>
  <si>
    <t>ひとりぐらし</t>
  </si>
  <si>
    <t>しあわせ（な）</t>
  </si>
  <si>
    <t xml:space="preserve">なべ </t>
  </si>
  <si>
    <t>しゃぶしゃぶ</t>
  </si>
  <si>
    <t xml:space="preserve">やきにく </t>
  </si>
  <si>
    <t xml:space="preserve">かてい </t>
  </si>
  <si>
    <t xml:space="preserve">きゅうしょく </t>
  </si>
  <si>
    <t>しーん</t>
  </si>
  <si>
    <t xml:space="preserve">あい </t>
  </si>
  <si>
    <t>しんぼる</t>
  </si>
  <si>
    <t xml:space="preserve">かんとく </t>
  </si>
  <si>
    <t>となりのととろ</t>
  </si>
  <si>
    <t>しゅじんこう</t>
  </si>
  <si>
    <t xml:space="preserve">しょうじょ </t>
  </si>
  <si>
    <t>しんぷる（な）</t>
  </si>
  <si>
    <t>いつか</t>
  </si>
  <si>
    <t xml:space="preserve">ちゅうがくせい </t>
  </si>
  <si>
    <t>おもわず</t>
  </si>
  <si>
    <t xml:space="preserve">えがお </t>
  </si>
  <si>
    <t>からあげ</t>
  </si>
  <si>
    <t xml:space="preserve">ものがたり </t>
  </si>
  <si>
    <t>ちかづける</t>
  </si>
  <si>
    <t>どらま</t>
  </si>
  <si>
    <t>あるいは</t>
  </si>
  <si>
    <t xml:space="preserve">しんやしょくどう </t>
  </si>
  <si>
    <t>きのうなにたべた べた</t>
  </si>
  <si>
    <t xml:space="preserve">よこく </t>
  </si>
  <si>
    <t>どうがさいと</t>
  </si>
  <si>
    <t xml:space="preserve">じんせい </t>
  </si>
  <si>
    <t xml:space="preserve">てんしゅ </t>
  </si>
  <si>
    <t>つながり</t>
  </si>
  <si>
    <t>だいひょうてき （な）</t>
  </si>
  <si>
    <t>さくひん</t>
  </si>
  <si>
    <t>まま</t>
  </si>
  <si>
    <t>やくざ</t>
  </si>
  <si>
    <t>〜がち</t>
  </si>
  <si>
    <t>りくえすとする</t>
  </si>
  <si>
    <t>おもいいれ</t>
  </si>
  <si>
    <t xml:space="preserve">ば </t>
  </si>
  <si>
    <t>ぬくもり</t>
  </si>
  <si>
    <t xml:space="preserve">じんしゅ </t>
  </si>
  <si>
    <t xml:space="preserve">しょくぎょう </t>
  </si>
  <si>
    <t xml:space="preserve">ねんれい </t>
  </si>
  <si>
    <t xml:space="preserve">せいべつ </t>
  </si>
  <si>
    <t xml:space="preserve">しょくば </t>
  </si>
  <si>
    <t>ここちよい</t>
  </si>
  <si>
    <t xml:space="preserve">いばしょ </t>
  </si>
  <si>
    <t>げい</t>
  </si>
  <si>
    <t>かっぷる</t>
  </si>
  <si>
    <t xml:space="preserve">にちじょう </t>
  </si>
  <si>
    <t xml:space="preserve">まんがげんさく </t>
  </si>
  <si>
    <t xml:space="preserve">まいかい </t>
  </si>
  <si>
    <t>つくりかた</t>
  </si>
  <si>
    <t>わらい</t>
  </si>
  <si>
    <t xml:space="preserve">なみだ </t>
  </si>
  <si>
    <t>しゅうい</t>
  </si>
  <si>
    <t>かかわり</t>
  </si>
  <si>
    <t xml:space="preserve">じっか </t>
  </si>
  <si>
    <t>おしょうがつ</t>
  </si>
  <si>
    <t>しだいに</t>
  </si>
  <si>
    <t>うちとける</t>
  </si>
  <si>
    <t xml:space="preserve">ようす </t>
  </si>
  <si>
    <t>じろうはすしのゆめをみる</t>
  </si>
  <si>
    <t>かんぺきしゅぎ</t>
  </si>
  <si>
    <t>みしゅらん</t>
  </si>
  <si>
    <t xml:space="preserve">でんせつ </t>
  </si>
  <si>
    <t>きしつ</t>
  </si>
  <si>
    <t>がんこ （な）</t>
  </si>
  <si>
    <t>えいぎょうほうしん</t>
  </si>
  <si>
    <t xml:space="preserve">じかんせい </t>
  </si>
  <si>
    <t xml:space="preserve">えん </t>
  </si>
  <si>
    <t>しゅぎょうきかん</t>
  </si>
  <si>
    <t>いちにんまえ</t>
  </si>
  <si>
    <t xml:space="preserve">かんどう </t>
  </si>
  <si>
    <t>いきかた</t>
  </si>
  <si>
    <t xml:space="preserve">げんだい </t>
  </si>
  <si>
    <t>わかもの</t>
  </si>
  <si>
    <t>つかむ</t>
  </si>
  <si>
    <t>むずかしい</t>
  </si>
  <si>
    <t xml:space="preserve">げんしょう </t>
  </si>
  <si>
    <t>L6</t>
    <phoneticPr fontId="3"/>
  </si>
  <si>
    <t>食</t>
    <rPh sb="0" eb="1">
      <t xml:space="preserve">しょく </t>
    </rPh>
    <phoneticPr fontId="3" type="Hiragana"/>
  </si>
  <si>
    <t>ジェンダー</t>
    <phoneticPr fontId="3" type="Hiragana"/>
  </si>
  <si>
    <t>我が家</t>
    <rPh sb="0" eb="1">
      <t xml:space="preserve">わがいえ </t>
    </rPh>
    <phoneticPr fontId="3" type="Hiragana"/>
  </si>
  <si>
    <t>Talk</t>
    <phoneticPr fontId="3" type="Hiragana"/>
  </si>
  <si>
    <t>にとって</t>
    <phoneticPr fontId="3" type="Hiragana"/>
  </si>
  <si>
    <t>１</t>
    <phoneticPr fontId="3" type="Hiragana"/>
  </si>
  <si>
    <t>思い出深い</t>
    <rPh sb="0" eb="1">
      <t>わず</t>
    </rPh>
    <rPh sb="3" eb="4">
      <t xml:space="preserve">ぶかい </t>
    </rPh>
    <phoneticPr fontId="3" type="Hiragana"/>
  </si>
  <si>
    <t>2</t>
    <phoneticPr fontId="3" type="Hiragana"/>
  </si>
  <si>
    <t>しいたけ</t>
    <phoneticPr fontId="3" type="Hiragana"/>
  </si>
  <si>
    <t>shiitake mushroom</t>
  </si>
  <si>
    <t>大根</t>
    <rPh sb="0" eb="2">
      <t xml:space="preserve">だいこん </t>
    </rPh>
    <phoneticPr fontId="3" type="Hiragana"/>
  </si>
  <si>
    <t>煮物</t>
    <rPh sb="0" eb="2">
      <t xml:space="preserve">にもの </t>
    </rPh>
    <phoneticPr fontId="3" type="Hiragana"/>
  </si>
  <si>
    <t>３</t>
    <phoneticPr fontId="3" type="Hiragana"/>
  </si>
  <si>
    <t>和食</t>
    <rPh sb="0" eb="2">
      <t xml:space="preserve">わしょく </t>
    </rPh>
    <phoneticPr fontId="3" type="Hiragana"/>
  </si>
  <si>
    <t>出汁</t>
    <rPh sb="0" eb="1">
      <t xml:space="preserve">だしじるし </t>
    </rPh>
    <phoneticPr fontId="3" type="Hiragana"/>
  </si>
  <si>
    <t>だし</t>
    <phoneticPr fontId="3"/>
  </si>
  <si>
    <t xml:space="preserve">Japanese soup stock </t>
    <phoneticPr fontId="3"/>
  </si>
  <si>
    <t>４</t>
    <phoneticPr fontId="3" type="Hiragana"/>
  </si>
  <si>
    <t>みりん</t>
    <phoneticPr fontId="3" type="Hiragana"/>
  </si>
  <si>
    <t>調味料</t>
    <rPh sb="0" eb="3">
      <t xml:space="preserve">ちょうみりょう </t>
    </rPh>
    <phoneticPr fontId="3" type="Hiragana"/>
  </si>
  <si>
    <t>汁</t>
    <rPh sb="0" eb="1">
      <t xml:space="preserve">しる </t>
    </rPh>
    <phoneticPr fontId="3" type="Hiragana"/>
  </si>
  <si>
    <t>材料</t>
    <rPh sb="0" eb="2">
      <t xml:space="preserve">ざいりょう </t>
    </rPh>
    <phoneticPr fontId="3" type="Hiragana"/>
  </si>
  <si>
    <t>5</t>
    <phoneticPr fontId="3" type="Hiragana"/>
  </si>
  <si>
    <t>小学生</t>
    <rPh sb="0" eb="3">
      <t xml:space="preserve">しょうがくせい </t>
    </rPh>
    <phoneticPr fontId="3" type="Hiragana"/>
  </si>
  <si>
    <t>6</t>
    <phoneticPr fontId="3" type="Hiragana"/>
  </si>
  <si>
    <t>いつの間にか</t>
    <phoneticPr fontId="3" type="Hiragana"/>
  </si>
  <si>
    <t>魅力</t>
    <rPh sb="0" eb="2">
      <t xml:space="preserve">みりょく </t>
    </rPh>
    <phoneticPr fontId="3" type="Hiragana"/>
  </si>
  <si>
    <t>おふくろの味</t>
    <rPh sb="0" eb="1">
      <t>おふくろ</t>
    </rPh>
    <rPh sb="5" eb="6">
      <t xml:space="preserve">あじ </t>
    </rPh>
    <phoneticPr fontId="3" type="Hiragana"/>
  </si>
  <si>
    <t>家事</t>
    <rPh sb="0" eb="2">
      <t xml:space="preserve">かじ </t>
    </rPh>
    <phoneticPr fontId="3" type="Hiragana"/>
  </si>
  <si>
    <t>10</t>
    <phoneticPr fontId="3" type="Hiragana"/>
  </si>
  <si>
    <t>当たり前</t>
    <rPh sb="0" eb="1">
      <t xml:space="preserve">あたりまえ </t>
    </rPh>
    <phoneticPr fontId="3" type="Hiragana"/>
  </si>
  <si>
    <t>名残り</t>
    <rPh sb="0" eb="2">
      <t xml:space="preserve">なのこり </t>
    </rPh>
    <phoneticPr fontId="3" type="Hiragana"/>
  </si>
  <si>
    <t>11</t>
    <phoneticPr fontId="3" type="Hiragana"/>
  </si>
  <si>
    <t>必ずしも</t>
    <rPh sb="0" eb="1">
      <t xml:space="preserve">かならずしも </t>
    </rPh>
    <phoneticPr fontId="3" type="Hiragana"/>
  </si>
  <si>
    <t>母親</t>
    <rPh sb="0" eb="2">
      <t xml:space="preserve">ははおや </t>
    </rPh>
    <phoneticPr fontId="3" type="Hiragana"/>
  </si>
  <si>
    <t>13</t>
    <phoneticPr fontId="3" type="Hiragana"/>
  </si>
  <si>
    <t>様々（な）</t>
    <rPh sb="0" eb="1">
      <t xml:space="preserve">さまざま </t>
    </rPh>
    <phoneticPr fontId="3" type="Hiragana"/>
  </si>
  <si>
    <t>14</t>
    <phoneticPr fontId="3" type="Hiragana"/>
  </si>
  <si>
    <t>友人</t>
    <rPh sb="0" eb="2">
      <t xml:space="preserve">ゆうじん </t>
    </rPh>
    <phoneticPr fontId="3" type="Hiragana"/>
  </si>
  <si>
    <t>15</t>
    <phoneticPr fontId="3" type="Hiragana"/>
  </si>
  <si>
    <t>16</t>
    <phoneticPr fontId="3" type="Hiragana"/>
  </si>
  <si>
    <t>親子丼</t>
    <rPh sb="0" eb="3">
      <t xml:space="preserve">おやこどん </t>
    </rPh>
    <phoneticPr fontId="3" type="Hiragana"/>
  </si>
  <si>
    <t>ふんわり</t>
    <phoneticPr fontId="3" type="Hiragana"/>
  </si>
  <si>
    <t>食感</t>
    <rPh sb="0" eb="2">
      <t xml:space="preserve">しょっかん </t>
    </rPh>
    <phoneticPr fontId="3" type="Hiragana"/>
  </si>
  <si>
    <t xml:space="preserve">food texture </t>
  </si>
  <si>
    <t>素朴（な）</t>
    <phoneticPr fontId="3" type="Hiragana"/>
  </si>
  <si>
    <t>大好物</t>
    <rPh sb="0" eb="3">
      <t xml:space="preserve">だいこうぶつ </t>
    </rPh>
    <phoneticPr fontId="3" type="Hiragana"/>
  </si>
  <si>
    <t>中国</t>
    <rPh sb="0" eb="2">
      <t xml:space="preserve">チュウゴク </t>
    </rPh>
    <phoneticPr fontId="3"/>
  </si>
  <si>
    <t>19</t>
    <phoneticPr fontId="3" type="Hiragana"/>
  </si>
  <si>
    <t>出身</t>
    <rPh sb="0" eb="1">
      <t xml:space="preserve">しゅっしん </t>
    </rPh>
    <phoneticPr fontId="3" type="Hiragana"/>
  </si>
  <si>
    <t>トマトの玉子炒め</t>
    <rPh sb="4" eb="7">
      <t xml:space="preserve">たまごいため </t>
    </rPh>
    <phoneticPr fontId="3" type="Hiragana"/>
  </si>
  <si>
    <t>stir-fried tomato and scrambled eggs</t>
  </si>
  <si>
    <t>暮らす</t>
    <rPh sb="0" eb="1">
      <t xml:space="preserve">くらす </t>
    </rPh>
    <phoneticPr fontId="3" type="Hiragana"/>
  </si>
  <si>
    <t>to live</t>
  </si>
  <si>
    <t>20</t>
    <phoneticPr fontId="3" type="Hiragana"/>
  </si>
  <si>
    <t>全寮制</t>
    <rPh sb="0" eb="3">
      <t xml:space="preserve">ぜんりょうせい </t>
    </rPh>
    <phoneticPr fontId="3" type="Hiragana"/>
  </si>
  <si>
    <t>21</t>
    <phoneticPr fontId="3" type="Hiragana"/>
  </si>
  <si>
    <t>24</t>
    <phoneticPr fontId="3" type="Hiragana"/>
  </si>
  <si>
    <t>フライパン</t>
    <phoneticPr fontId="3" type="Hiragana"/>
  </si>
  <si>
    <t>ジューン</t>
    <phoneticPr fontId="3" type="Hiragana"/>
  </si>
  <si>
    <t>25</t>
    <phoneticPr fontId="3"/>
  </si>
  <si>
    <t>男飯</t>
    <rPh sb="0" eb="2">
      <t xml:space="preserve">おとこめし </t>
    </rPh>
    <phoneticPr fontId="3" type="Hiragana"/>
  </si>
  <si>
    <t>男女</t>
    <rPh sb="0" eb="2">
      <t xml:space="preserve">だんじょ </t>
    </rPh>
    <phoneticPr fontId="3" type="Hiragana"/>
  </si>
  <si>
    <t>区別する</t>
    <rPh sb="0" eb="2">
      <t xml:space="preserve">くべつする </t>
    </rPh>
    <phoneticPr fontId="3" type="Hiragana"/>
  </si>
  <si>
    <t>表現</t>
    <rPh sb="0" eb="2">
      <t xml:space="preserve">ひょうげん </t>
    </rPh>
    <phoneticPr fontId="3" type="Hiragana"/>
  </si>
  <si>
    <t>例</t>
    <rPh sb="0" eb="1">
      <t xml:space="preserve">れい </t>
    </rPh>
    <phoneticPr fontId="3" type="Hiragana"/>
  </si>
  <si>
    <t>俺</t>
    <rPh sb="0" eb="1">
      <t xml:space="preserve">おれ </t>
    </rPh>
    <phoneticPr fontId="3" type="Hiragana"/>
  </si>
  <si>
    <t>I (informal, usually used by men)</t>
  </si>
  <si>
    <t>1</t>
    <phoneticPr fontId="3" type="Hiragana"/>
  </si>
  <si>
    <t>男メシ</t>
    <rPh sb="0" eb="1">
      <t xml:space="preserve">おとこ </t>
    </rPh>
    <phoneticPr fontId="3" type="Hiragana"/>
  </si>
  <si>
    <t>インターネット</t>
    <phoneticPr fontId="3" type="Hiragana"/>
  </si>
  <si>
    <t>検索する</t>
    <rPh sb="0" eb="2">
      <t xml:space="preserve">けんさく </t>
    </rPh>
    <phoneticPr fontId="3" type="Hiragana"/>
  </si>
  <si>
    <t>丼もの</t>
    <rPh sb="0" eb="1">
      <t xml:space="preserve">どん </t>
    </rPh>
    <phoneticPr fontId="3" type="Hiragana"/>
  </si>
  <si>
    <t>パスタ</t>
    <phoneticPr fontId="3" type="Hiragana"/>
  </si>
  <si>
    <t>手軽（な）</t>
    <rPh sb="0" eb="2">
      <t xml:space="preserve">てがる </t>
    </rPh>
    <phoneticPr fontId="3" type="Hiragana"/>
  </si>
  <si>
    <t>ポリューム</t>
    <phoneticPr fontId="3" type="Hiragana"/>
  </si>
  <si>
    <t>3</t>
    <phoneticPr fontId="3" type="Hiragana"/>
  </si>
  <si>
    <t>レシピ</t>
    <phoneticPr fontId="3" type="Hiragana"/>
  </si>
  <si>
    <t>表示する</t>
    <rPh sb="0" eb="2">
      <t xml:space="preserve">ひょうじ </t>
    </rPh>
    <phoneticPr fontId="3" type="Hiragana"/>
  </si>
  <si>
    <t>ひょうじする</t>
    <phoneticPr fontId="3"/>
  </si>
  <si>
    <t>気がつく</t>
    <rPh sb="0" eb="1">
      <t xml:space="preserve">きがつく </t>
    </rPh>
    <phoneticPr fontId="3" type="Hiragana"/>
  </si>
  <si>
    <t>きがつく</t>
    <phoneticPr fontId="3"/>
  </si>
  <si>
    <t>特徴</t>
    <rPh sb="0" eb="2">
      <t xml:space="preserve">とくちょう </t>
    </rPh>
    <phoneticPr fontId="3" type="Hiragana"/>
  </si>
  <si>
    <t>4</t>
    <phoneticPr fontId="3" type="Hiragana"/>
  </si>
  <si>
    <t>単に</t>
    <rPh sb="0" eb="1">
      <t xml:space="preserve">たんに </t>
    </rPh>
    <phoneticPr fontId="3" type="Hiragana"/>
  </si>
  <si>
    <t>男性</t>
    <rPh sb="0" eb="2">
      <t xml:space="preserve">だんせい </t>
    </rPh>
    <phoneticPr fontId="3" type="Hiragana"/>
  </si>
  <si>
    <t>豪快</t>
    <rPh sb="0" eb="2">
      <t xml:space="preserve">ごうかい </t>
    </rPh>
    <phoneticPr fontId="3" type="Hiragana"/>
  </si>
  <si>
    <t>一般的</t>
    <rPh sb="0" eb="1">
      <t xml:space="preserve">いっぱんてき </t>
    </rPh>
    <phoneticPr fontId="3" type="Hiragana"/>
  </si>
  <si>
    <t>イメージする</t>
    <phoneticPr fontId="3"/>
  </si>
  <si>
    <t>手間</t>
    <rPh sb="0" eb="2">
      <t xml:space="preserve">てま </t>
    </rPh>
    <phoneticPr fontId="3" type="Hiragana"/>
  </si>
  <si>
    <t>表現する</t>
    <rPh sb="0" eb="2">
      <t xml:space="preserve">ひょうげん </t>
    </rPh>
    <phoneticPr fontId="3" type="Hiragana"/>
  </si>
  <si>
    <t>特別視する</t>
    <rPh sb="0" eb="2">
      <t xml:space="preserve">とくべつ </t>
    </rPh>
    <rPh sb="2" eb="3">
      <t xml:space="preserve">し </t>
    </rPh>
    <phoneticPr fontId="3" type="Hiragana"/>
  </si>
  <si>
    <t>与える</t>
    <rPh sb="0" eb="1">
      <t xml:space="preserve">あたえる </t>
    </rPh>
    <phoneticPr fontId="3" type="Hiragana"/>
  </si>
  <si>
    <t>7</t>
    <phoneticPr fontId="3" type="Hiragana"/>
  </si>
  <si>
    <t>もともと</t>
    <phoneticPr fontId="3" type="Hiragana"/>
  </si>
  <si>
    <t>男らしい</t>
    <rPh sb="0" eb="1">
      <t xml:space="preserve">おとこらしい </t>
    </rPh>
    <phoneticPr fontId="3" type="Hiragana"/>
  </si>
  <si>
    <t>女らしい</t>
    <rPh sb="0" eb="1">
      <t xml:space="preserve">おんならしい </t>
    </rPh>
    <phoneticPr fontId="3" type="Hiragana"/>
  </si>
  <si>
    <t>性別</t>
    <rPh sb="0" eb="1">
      <t xml:space="preserve">せいべつ </t>
    </rPh>
    <phoneticPr fontId="3" type="Hiragana"/>
  </si>
  <si>
    <t>ジェンダー</t>
    <phoneticPr fontId="3"/>
  </si>
  <si>
    <t>8</t>
    <phoneticPr fontId="3" type="Hiragana"/>
  </si>
  <si>
    <t>視点</t>
    <rPh sb="0" eb="2">
      <t xml:space="preserve">してん </t>
    </rPh>
    <phoneticPr fontId="3" type="Hiragana"/>
  </si>
  <si>
    <t>ふさわしい</t>
    <phoneticPr fontId="3" type="Hiragana"/>
  </si>
  <si>
    <t>役割</t>
    <rPh sb="0" eb="2">
      <t xml:space="preserve">やくわり </t>
    </rPh>
    <phoneticPr fontId="3" type="Hiragana"/>
  </si>
  <si>
    <t>行動</t>
    <rPh sb="0" eb="2">
      <t xml:space="preserve">こうどう </t>
    </rPh>
    <phoneticPr fontId="3" type="Hiragana"/>
  </si>
  <si>
    <t>活動</t>
    <rPh sb="0" eb="2">
      <t xml:space="preserve">かつどう </t>
    </rPh>
    <phoneticPr fontId="3" type="Hiragana"/>
  </si>
  <si>
    <t>立場</t>
    <rPh sb="0" eb="2">
      <t xml:space="preserve">たちば </t>
    </rPh>
    <phoneticPr fontId="3" type="Hiragana"/>
  </si>
  <si>
    <t>9</t>
    <phoneticPr fontId="3" type="Hiragana"/>
  </si>
  <si>
    <t>女飯</t>
    <rPh sb="0" eb="1">
      <t xml:space="preserve">おんなめし </t>
    </rPh>
    <rPh sb="1" eb="2">
      <t xml:space="preserve">めし </t>
    </rPh>
    <phoneticPr fontId="3" type="Hiragana"/>
  </si>
  <si>
    <t>昭和</t>
    <rPh sb="0" eb="2">
      <t xml:space="preserve">しょうわ </t>
    </rPh>
    <phoneticPr fontId="3" type="Hiragana"/>
  </si>
  <si>
    <t>ポジティブ（な）</t>
    <phoneticPr fontId="3" type="Hiragana"/>
  </si>
  <si>
    <t>一方</t>
    <rPh sb="0" eb="1">
      <t xml:space="preserve">いっぽう </t>
    </rPh>
    <phoneticPr fontId="3" type="Hiragana"/>
  </si>
  <si>
    <t>いっぽう</t>
    <phoneticPr fontId="3"/>
  </si>
  <si>
    <t>12</t>
    <phoneticPr fontId="3" type="Hiragana"/>
  </si>
  <si>
    <t>作り出す</t>
    <rPh sb="0" eb="1">
      <t xml:space="preserve">つくりだす </t>
    </rPh>
    <phoneticPr fontId="3" type="Hiragana"/>
  </si>
  <si>
    <t>近年</t>
    <rPh sb="0" eb="2">
      <t xml:space="preserve">きんねん </t>
    </rPh>
    <phoneticPr fontId="3" type="Hiragana"/>
  </si>
  <si>
    <t>共働き</t>
    <rPh sb="0" eb="1">
      <t xml:space="preserve">ともはたらく </t>
    </rPh>
    <phoneticPr fontId="3" type="Hiragana"/>
  </si>
  <si>
    <t>一般化する</t>
    <rPh sb="0" eb="3">
      <t xml:space="preserve">いっぱんかする </t>
    </rPh>
    <phoneticPr fontId="3" type="Hiragana"/>
  </si>
  <si>
    <t>家事</t>
    <rPh sb="0" eb="1">
      <t xml:space="preserve">かじ </t>
    </rPh>
    <phoneticPr fontId="3" type="Hiragana"/>
  </si>
  <si>
    <t>育児</t>
    <rPh sb="0" eb="2">
      <t xml:space="preserve">いくじ </t>
    </rPh>
    <phoneticPr fontId="3" type="Hiragana"/>
  </si>
  <si>
    <t>child rearing</t>
  </si>
  <si>
    <t>division of roles</t>
  </si>
  <si>
    <t>意識</t>
    <rPh sb="0" eb="2">
      <t xml:space="preserve">いしき </t>
    </rPh>
    <phoneticPr fontId="3" type="Hiragana"/>
  </si>
  <si>
    <t>いまだに</t>
    <phoneticPr fontId="3" type="Hiragana"/>
  </si>
  <si>
    <t>根強い</t>
    <rPh sb="0" eb="2">
      <t xml:space="preserve">ねづよく </t>
    </rPh>
    <phoneticPr fontId="3" type="Hiragana"/>
  </si>
  <si>
    <t>主婦</t>
    <rPh sb="0" eb="1">
      <t xml:space="preserve">しゅふ </t>
    </rPh>
    <phoneticPr fontId="3" type="Hiragana"/>
  </si>
  <si>
    <t>ワンオペ</t>
    <phoneticPr fontId="3" type="Hiragana"/>
  </si>
  <si>
    <t xml:space="preserve"> </t>
    <phoneticPr fontId="3"/>
  </si>
  <si>
    <t>民間調査</t>
    <rPh sb="0" eb="2">
      <t xml:space="preserve">みんかんちょうさ </t>
    </rPh>
    <phoneticPr fontId="3" type="Hiragana"/>
  </si>
  <si>
    <t>苦痛</t>
    <rPh sb="0" eb="2">
      <t xml:space="preserve">くつう </t>
    </rPh>
    <phoneticPr fontId="3" type="Hiragana"/>
  </si>
  <si>
    <t>感じる</t>
    <rPh sb="0" eb="1">
      <t xml:space="preserve">かんじる </t>
    </rPh>
    <phoneticPr fontId="3" type="Hiragana"/>
  </si>
  <si>
    <t>割</t>
    <rPh sb="0" eb="1">
      <t xml:space="preserve">ななわり </t>
    </rPh>
    <phoneticPr fontId="3" type="Hiragana"/>
  </si>
  <si>
    <t>超える</t>
    <rPh sb="0" eb="1">
      <t xml:space="preserve">こえる </t>
    </rPh>
    <phoneticPr fontId="3" type="Hiragana"/>
  </si>
  <si>
    <t>17</t>
    <phoneticPr fontId="3" type="Hiragana"/>
  </si>
  <si>
    <t>報告する</t>
    <rPh sb="0" eb="2">
      <t xml:space="preserve">ほうこく </t>
    </rPh>
    <phoneticPr fontId="3" type="Hiragana"/>
  </si>
  <si>
    <t>親</t>
    <rPh sb="0" eb="1">
      <t xml:space="preserve">オヤ </t>
    </rPh>
    <phoneticPr fontId="3"/>
  </si>
  <si>
    <t>parent</t>
  </si>
  <si>
    <t>世代</t>
    <rPh sb="0" eb="2">
      <t xml:space="preserve">せだい </t>
    </rPh>
    <phoneticPr fontId="3" type="Hiragana"/>
  </si>
  <si>
    <t>18</t>
    <phoneticPr fontId="3" type="Hiragana"/>
  </si>
  <si>
    <t>回答</t>
    <rPh sb="0" eb="2">
      <t xml:space="preserve">かいとう </t>
    </rPh>
    <phoneticPr fontId="3" type="Hiragana"/>
  </si>
  <si>
    <t>育つ</t>
    <rPh sb="0" eb="1">
      <t xml:space="preserve">そだつ </t>
    </rPh>
    <phoneticPr fontId="3" type="Hiragana"/>
  </si>
  <si>
    <t>環境</t>
    <rPh sb="0" eb="2">
      <t xml:space="preserve">かんきょう </t>
    </rPh>
    <phoneticPr fontId="3" type="Hiragana"/>
  </si>
  <si>
    <t>影響</t>
    <rPh sb="0" eb="2">
      <t xml:space="preserve">えいきょう </t>
    </rPh>
    <phoneticPr fontId="3" type="Hiragana"/>
  </si>
  <si>
    <t>指摘する</t>
    <rPh sb="0" eb="2">
      <t xml:space="preserve">してきする </t>
    </rPh>
    <phoneticPr fontId="3" type="Hiragana"/>
  </si>
  <si>
    <t>コンビニ</t>
    <phoneticPr fontId="3" type="Hiragana"/>
  </si>
  <si>
    <t>オリジナルブランド</t>
    <phoneticPr fontId="3" type="Hiragana"/>
  </si>
  <si>
    <t>惣菜</t>
    <phoneticPr fontId="3" type="Hiragana"/>
  </si>
  <si>
    <t>反発する</t>
    <rPh sb="0" eb="2">
      <t xml:space="preserve">はんぱつ </t>
    </rPh>
    <phoneticPr fontId="3" type="Hiragana"/>
  </si>
  <si>
    <t>名称変更</t>
    <rPh sb="0" eb="1">
      <t xml:space="preserve">めいしょう </t>
    </rPh>
    <phoneticPr fontId="3" type="Hiragana"/>
  </si>
  <si>
    <t>署名</t>
    <rPh sb="0" eb="2">
      <t xml:space="preserve">しょめい </t>
    </rPh>
    <phoneticPr fontId="3" type="Hiragana"/>
  </si>
  <si>
    <t>話題</t>
    <rPh sb="0" eb="2">
      <t xml:space="preserve">わだい </t>
    </rPh>
    <phoneticPr fontId="3" type="Hiragana"/>
  </si>
  <si>
    <t>結局</t>
    <rPh sb="0" eb="1">
      <t>びつけ</t>
    </rPh>
    <phoneticPr fontId="3" type="Hiragana"/>
  </si>
  <si>
    <t>目標</t>
    <rPh sb="0" eb="2">
      <t xml:space="preserve">もくひょう </t>
    </rPh>
    <phoneticPr fontId="3" type="Hiragana"/>
  </si>
  <si>
    <t>数</t>
    <rPh sb="0" eb="1">
      <t xml:space="preserve">スウ </t>
    </rPh>
    <phoneticPr fontId="3"/>
  </si>
  <si>
    <t>母親</t>
    <rPh sb="0" eb="2">
      <t xml:space="preserve">ハハオヤ </t>
    </rPh>
    <phoneticPr fontId="3"/>
  </si>
  <si>
    <t>価値観</t>
    <rPh sb="0" eb="3">
      <t xml:space="preserve">かちかん </t>
    </rPh>
    <phoneticPr fontId="3" type="Hiragana"/>
  </si>
  <si>
    <t>22</t>
    <phoneticPr fontId="3" type="Hiragana"/>
  </si>
  <si>
    <t>温かい</t>
    <phoneticPr fontId="3" type="Hiragana"/>
  </si>
  <si>
    <t>賛否両論</t>
    <rPh sb="0" eb="2">
      <t xml:space="preserve">さんぴりょうおん りょうろん </t>
    </rPh>
    <phoneticPr fontId="3" type="Hiragana"/>
  </si>
  <si>
    <t>展開する</t>
    <rPh sb="0" eb="2">
      <t xml:space="preserve">てんかいする </t>
    </rPh>
    <phoneticPr fontId="3" type="Hiragana"/>
  </si>
  <si>
    <t>てんかいする</t>
    <phoneticPr fontId="3"/>
  </si>
  <si>
    <t>少なくとも</t>
    <rPh sb="0" eb="1">
      <t xml:space="preserve">すくなくとも </t>
    </rPh>
    <phoneticPr fontId="3" type="Hiragana"/>
  </si>
  <si>
    <t>出来事</t>
    <rPh sb="0" eb="2">
      <t xml:space="preserve">できこと </t>
    </rPh>
    <rPh sb="2" eb="3">
      <t xml:space="preserve">こと </t>
    </rPh>
    <phoneticPr fontId="3" type="Hiragana"/>
  </si>
  <si>
    <t>23</t>
    <phoneticPr fontId="3" type="Hiragana"/>
  </si>
  <si>
    <t>平等</t>
    <rPh sb="0" eb="2">
      <t xml:space="preserve">びょうどう </t>
    </rPh>
    <phoneticPr fontId="3" type="Hiragana"/>
  </si>
  <si>
    <t>意識向上</t>
    <rPh sb="0" eb="2">
      <t xml:space="preserve">いしき こうじょう </t>
    </rPh>
    <phoneticPr fontId="3" type="Hiragana"/>
  </si>
  <si>
    <t>効果</t>
    <rPh sb="0" eb="2">
      <t xml:space="preserve">こうか </t>
    </rPh>
    <phoneticPr fontId="3" type="Hiragana"/>
  </si>
  <si>
    <t>もたらす</t>
    <phoneticPr fontId="3" type="Hiragana"/>
  </si>
  <si>
    <t>事実</t>
    <rPh sb="0" eb="2">
      <t xml:space="preserve">じじつ </t>
    </rPh>
    <phoneticPr fontId="3" type="Hiragana"/>
  </si>
  <si>
    <t>便利</t>
    <rPh sb="0" eb="2">
      <t xml:space="preserve">べんり </t>
    </rPh>
    <phoneticPr fontId="3" type="Hiragana"/>
  </si>
  <si>
    <t>食材</t>
    <rPh sb="0" eb="2">
      <t xml:space="preserve">しょくざい </t>
    </rPh>
    <phoneticPr fontId="3" type="Hiragana"/>
  </si>
  <si>
    <t>調理器具</t>
    <rPh sb="0" eb="1">
      <t xml:space="preserve">ちょうりきぐ </t>
    </rPh>
    <phoneticPr fontId="3" type="Hiragana"/>
  </si>
  <si>
    <t>問わず</t>
    <phoneticPr fontId="3" type="Hiragana"/>
  </si>
  <si>
    <t>時短</t>
    <rPh sb="0" eb="2">
      <t xml:space="preserve">じたんりょうり </t>
    </rPh>
    <phoneticPr fontId="3" type="Hiragana"/>
  </si>
  <si>
    <t>現在</t>
    <rPh sb="0" eb="2">
      <t xml:space="preserve">ゲンザイ </t>
    </rPh>
    <phoneticPr fontId="3"/>
  </si>
  <si>
    <t xml:space="preserve">げんざい </t>
    <phoneticPr fontId="3"/>
  </si>
  <si>
    <t>概念</t>
    <rPh sb="0" eb="2">
      <t xml:space="preserve">がいねん </t>
    </rPh>
    <phoneticPr fontId="3" type="Hiragana"/>
  </si>
  <si>
    <t>25</t>
    <phoneticPr fontId="3" type="Hiragana"/>
  </si>
  <si>
    <t>問い直す</t>
    <phoneticPr fontId="3" type="Hiragana"/>
  </si>
  <si>
    <t>ジェンダーフリー</t>
    <phoneticPr fontId="3" type="Hiragana"/>
  </si>
  <si>
    <t>＊1</t>
    <phoneticPr fontId="3" type="Hiragana"/>
  </si>
  <si>
    <t>どんぶり</t>
    <phoneticPr fontId="3" type="Hiragana"/>
  </si>
  <si>
    <t>おかず</t>
    <phoneticPr fontId="3" type="Hiragana"/>
  </si>
  <si>
    <t>天丼</t>
    <rPh sb="0" eb="2">
      <t xml:space="preserve">てんどん </t>
    </rPh>
    <phoneticPr fontId="3" type="Hiragana"/>
  </si>
  <si>
    <t>カツ丼</t>
    <phoneticPr fontId="3" type="Hiragana"/>
  </si>
  <si>
    <t>親子丼</t>
    <rPh sb="0" eb="3">
      <t xml:space="preserve">オヤコドン </t>
    </rPh>
    <phoneticPr fontId="3"/>
  </si>
  <si>
    <t xml:space="preserve">しょく </t>
  </si>
  <si>
    <t>にとって</t>
  </si>
  <si>
    <t>おもいでぶかい</t>
  </si>
  <si>
    <t>しいたけ</t>
  </si>
  <si>
    <t xml:space="preserve">だいこん </t>
  </si>
  <si>
    <t xml:space="preserve">にもの </t>
  </si>
  <si>
    <t xml:space="preserve">わしょく </t>
  </si>
  <si>
    <t>だし</t>
  </si>
  <si>
    <t>みりん</t>
  </si>
  <si>
    <t xml:space="preserve">ちょうみりょう </t>
  </si>
  <si>
    <t xml:space="preserve">しる </t>
  </si>
  <si>
    <t xml:space="preserve">しょうがくせい </t>
  </si>
  <si>
    <t>いつのまにか</t>
  </si>
  <si>
    <t xml:space="preserve">みりょく </t>
  </si>
  <si>
    <t xml:space="preserve">かじ </t>
  </si>
  <si>
    <t>なごり</t>
  </si>
  <si>
    <t>かならずしも</t>
  </si>
  <si>
    <t xml:space="preserve">ははおや </t>
  </si>
  <si>
    <t xml:space="preserve">ゆうじん </t>
  </si>
  <si>
    <t xml:space="preserve">おやこどん </t>
  </si>
  <si>
    <t>ふんわり</t>
  </si>
  <si>
    <t xml:space="preserve">しょっかん </t>
  </si>
  <si>
    <t>そぼく（な）</t>
  </si>
  <si>
    <t xml:space="preserve">だいこうぶつ </t>
  </si>
  <si>
    <t>しゅっしん</t>
  </si>
  <si>
    <t>とまとのたまごいため め</t>
  </si>
  <si>
    <t>くらす</t>
  </si>
  <si>
    <t>ぜんりょうせい</t>
  </si>
  <si>
    <t>ふらいぱん</t>
  </si>
  <si>
    <t>じゅーん</t>
  </si>
  <si>
    <t xml:space="preserve">おとこめし </t>
  </si>
  <si>
    <t xml:space="preserve">だんじょ </t>
  </si>
  <si>
    <t>くべつする</t>
  </si>
  <si>
    <t xml:space="preserve">ひょうげん </t>
  </si>
  <si>
    <t xml:space="preserve">れい </t>
  </si>
  <si>
    <t xml:space="preserve">おれ </t>
  </si>
  <si>
    <t>けんさくする</t>
  </si>
  <si>
    <t>どんもの</t>
  </si>
  <si>
    <t>ぱすた</t>
  </si>
  <si>
    <t>てがる （な）</t>
  </si>
  <si>
    <t>れしぴ</t>
  </si>
  <si>
    <t xml:space="preserve">とくちょう </t>
  </si>
  <si>
    <t>たんに</t>
  </si>
  <si>
    <t xml:space="preserve">だんせい </t>
  </si>
  <si>
    <t xml:space="preserve">ごうかい </t>
  </si>
  <si>
    <t>いっぱんてき</t>
  </si>
  <si>
    <t xml:space="preserve">てま </t>
  </si>
  <si>
    <t>ひょうげんする</t>
  </si>
  <si>
    <t>とくべつしする</t>
  </si>
  <si>
    <t>あたえる</t>
  </si>
  <si>
    <t>おとこらしい</t>
  </si>
  <si>
    <t>おんならしい</t>
  </si>
  <si>
    <t>せいべつ</t>
  </si>
  <si>
    <t xml:space="preserve">してん </t>
  </si>
  <si>
    <t>ふさわしい</t>
  </si>
  <si>
    <t xml:space="preserve">こうどう </t>
  </si>
  <si>
    <t xml:space="preserve">かつどう </t>
  </si>
  <si>
    <t xml:space="preserve">たちば </t>
  </si>
  <si>
    <t>おんなめし</t>
  </si>
  <si>
    <t xml:space="preserve">しょうわ </t>
  </si>
  <si>
    <t>ぽじてぃぶ（な）</t>
  </si>
  <si>
    <t>いっぽう</t>
  </si>
  <si>
    <t>つくりだす</t>
  </si>
  <si>
    <t xml:space="preserve">きんねん </t>
  </si>
  <si>
    <t>ともばたらき</t>
  </si>
  <si>
    <t>いっぱんかする</t>
  </si>
  <si>
    <t>かじ</t>
  </si>
  <si>
    <t xml:space="preserve">いくじ </t>
  </si>
  <si>
    <t xml:space="preserve">いしき </t>
  </si>
  <si>
    <t>いまだに</t>
  </si>
  <si>
    <t>ねづよい</t>
  </si>
  <si>
    <t>しゅふ</t>
  </si>
  <si>
    <t>わんおぺ</t>
  </si>
  <si>
    <t>みんかんちょうさ</t>
  </si>
  <si>
    <t xml:space="preserve">くつう </t>
  </si>
  <si>
    <t>かんじる</t>
  </si>
  <si>
    <t>わり</t>
  </si>
  <si>
    <t>こえる</t>
  </si>
  <si>
    <t>ほうこく する</t>
  </si>
  <si>
    <t>おや</t>
  </si>
  <si>
    <t xml:space="preserve">せだい </t>
  </si>
  <si>
    <t xml:space="preserve">かいとう </t>
  </si>
  <si>
    <t>そだつ</t>
  </si>
  <si>
    <t xml:space="preserve">かんきょう </t>
  </si>
  <si>
    <t xml:space="preserve">えいきょう </t>
  </si>
  <si>
    <t>してきする</t>
  </si>
  <si>
    <t>こんびに</t>
  </si>
  <si>
    <t>おりじなるぶらんど</t>
  </si>
  <si>
    <t>そうざい</t>
  </si>
  <si>
    <t>はんぱつする</t>
  </si>
  <si>
    <t>めいしょうへんこう</t>
  </si>
  <si>
    <t xml:space="preserve">しょめい </t>
  </si>
  <si>
    <t>けっきょく</t>
  </si>
  <si>
    <t xml:space="preserve">もくひょう </t>
  </si>
  <si>
    <t>すう</t>
  </si>
  <si>
    <t>ははおや</t>
  </si>
  <si>
    <t xml:space="preserve">かちかん </t>
  </si>
  <si>
    <t>あたたかい</t>
  </si>
  <si>
    <t>さんぴりょうろん</t>
  </si>
  <si>
    <t>てんかいする</t>
  </si>
  <si>
    <t>すくなくとも</t>
  </si>
  <si>
    <t xml:space="preserve">びょうどう </t>
  </si>
  <si>
    <t>いしきこうじょう</t>
  </si>
  <si>
    <t xml:space="preserve">こうか </t>
  </si>
  <si>
    <t>もたらす</t>
  </si>
  <si>
    <t xml:space="preserve">じじつ </t>
  </si>
  <si>
    <t xml:space="preserve">べんり </t>
  </si>
  <si>
    <t>ちょうりきぐ</t>
  </si>
  <si>
    <t>とわず</t>
  </si>
  <si>
    <t>じたん</t>
  </si>
  <si>
    <t xml:space="preserve">げんざい </t>
  </si>
  <si>
    <t xml:space="preserve">がいねん </t>
  </si>
  <si>
    <t>といなおす</t>
  </si>
  <si>
    <t>どんぶり</t>
  </si>
  <si>
    <t>おかず</t>
  </si>
  <si>
    <t xml:space="preserve">てんどん </t>
  </si>
  <si>
    <t>かつどん</t>
  </si>
  <si>
    <t>L7</t>
    <phoneticPr fontId="3" type="Hiragana"/>
  </si>
  <si>
    <t>テーマ</t>
    <phoneticPr fontId="3" type="Hiragana"/>
  </si>
  <si>
    <t>格差</t>
    <rPh sb="0" eb="2">
      <t xml:space="preserve">かくさ </t>
    </rPh>
    <phoneticPr fontId="3" type="Hiragana"/>
  </si>
  <si>
    <t>gap</t>
    <phoneticPr fontId="3"/>
  </si>
  <si>
    <t>SEC1</t>
    <phoneticPr fontId="3" type="Hiragana"/>
  </si>
  <si>
    <t>タイトル</t>
    <phoneticPr fontId="3" type="Hiragana"/>
  </si>
  <si>
    <t xml:space="preserve">school lunch </t>
    <phoneticPr fontId="3"/>
  </si>
  <si>
    <t>思い出</t>
    <phoneticPr fontId="3"/>
  </si>
  <si>
    <t>memory</t>
    <phoneticPr fontId="3"/>
  </si>
  <si>
    <t>昼食</t>
    <rPh sb="0" eb="2">
      <t xml:space="preserve">ちゅうしょく </t>
    </rPh>
    <phoneticPr fontId="3" type="Hiragana"/>
  </si>
  <si>
    <t>メニュー</t>
    <phoneticPr fontId="3" type="Hiragana"/>
  </si>
  <si>
    <t>menu</t>
    <phoneticPr fontId="3"/>
  </si>
  <si>
    <t>献立</t>
    <rPh sb="0" eb="2">
      <t xml:space="preserve">こんだて </t>
    </rPh>
    <phoneticPr fontId="3" type="Hiragana"/>
  </si>
  <si>
    <t>炊き込みご飯</t>
    <rPh sb="0" eb="1">
      <t xml:space="preserve">たきごみ </t>
    </rPh>
    <phoneticPr fontId="3" type="Hiragana"/>
  </si>
  <si>
    <t>rice seasoned and cooked with various ingredients</t>
    <phoneticPr fontId="3"/>
  </si>
  <si>
    <t>うどん</t>
    <phoneticPr fontId="3" type="Hiragana"/>
  </si>
  <si>
    <t>（〜が）待ち遠しい</t>
    <rPh sb="4" eb="5">
      <t xml:space="preserve">まちとおす </t>
    </rPh>
    <phoneticPr fontId="3" type="Hiragana"/>
  </si>
  <si>
    <t>can't hardly wait for</t>
    <phoneticPr fontId="3"/>
  </si>
  <si>
    <t>当番</t>
    <rPh sb="0" eb="2">
      <t xml:space="preserve">とうばん </t>
    </rPh>
    <phoneticPr fontId="3" type="Hiragana"/>
  </si>
  <si>
    <t>調理員</t>
    <rPh sb="0" eb="2">
      <t xml:space="preserve">ちょうりいん </t>
    </rPh>
    <phoneticPr fontId="3" type="Hiragana"/>
  </si>
  <si>
    <t>a cook for a school lunch</t>
    <phoneticPr fontId="3"/>
  </si>
  <si>
    <t>配る</t>
    <rPh sb="0" eb="1">
      <t xml:space="preserve">くばる </t>
    </rPh>
    <phoneticPr fontId="3" type="Hiragana"/>
  </si>
  <si>
    <t>白衣</t>
    <rPh sb="0" eb="2">
      <t xml:space="preserve">はくい </t>
    </rPh>
    <phoneticPr fontId="3" type="Hiragana"/>
  </si>
  <si>
    <t>テキパキと</t>
    <phoneticPr fontId="3" type="Hiragana"/>
  </si>
  <si>
    <t>（〜が）遅くなる</t>
    <rPh sb="4" eb="5">
      <t xml:space="preserve">おそくなる </t>
    </rPh>
    <phoneticPr fontId="3" type="Hiragana"/>
  </si>
  <si>
    <t>to be late</t>
    <phoneticPr fontId="3"/>
  </si>
  <si>
    <t>責任重大</t>
    <rPh sb="0" eb="2">
      <t xml:space="preserve">せきにんじゅうだい </t>
    </rPh>
    <phoneticPr fontId="3" type="Hiragana"/>
  </si>
  <si>
    <t>great responsibility</t>
    <phoneticPr fontId="3"/>
  </si>
  <si>
    <t>（人に）あこがれる</t>
  </si>
  <si>
    <t>（ひとに）あこがれる</t>
  </si>
  <si>
    <t>to admire (someone)</t>
    <phoneticPr fontId="3"/>
  </si>
  <si>
    <t>焼きそば</t>
    <rPh sb="0" eb="1">
      <t xml:space="preserve">やきそば </t>
    </rPh>
    <phoneticPr fontId="3" type="Hiragana"/>
  </si>
  <si>
    <t>stir-fried noodles</t>
    <phoneticPr fontId="3"/>
  </si>
  <si>
    <t>多め</t>
    <phoneticPr fontId="3"/>
  </si>
  <si>
    <t>（〜を）よそう</t>
    <phoneticPr fontId="3" type="Hiragana"/>
  </si>
  <si>
    <t>to serve (food)</t>
    <phoneticPr fontId="3"/>
  </si>
  <si>
    <t>懐かしい</t>
    <phoneticPr fontId="3" type="Hiragana"/>
  </si>
  <si>
    <t>nostalgic</t>
    <phoneticPr fontId="3"/>
  </si>
  <si>
    <t>（〜を）通じて</t>
    <rPh sb="4" eb="5">
      <t xml:space="preserve">つうじて </t>
    </rPh>
    <phoneticPr fontId="3" type="Hiragana"/>
  </si>
  <si>
    <t>（〜を）つうじて</t>
    <phoneticPr fontId="3"/>
  </si>
  <si>
    <t>学ぶ</t>
    <rPh sb="0" eb="1">
      <t xml:space="preserve">まなぶ </t>
    </rPh>
    <phoneticPr fontId="3" type="Hiragana"/>
  </si>
  <si>
    <t>好き嫌い</t>
    <phoneticPr fontId="3" type="Hiragana"/>
  </si>
  <si>
    <t xml:space="preserve">likes and dislikes </t>
    <phoneticPr fontId="3"/>
  </si>
  <si>
    <t>バランス</t>
    <phoneticPr fontId="3" type="Hiragana"/>
  </si>
  <si>
    <t>むだにする</t>
    <phoneticPr fontId="3" type="Hiragana"/>
  </si>
  <si>
    <t>to waste</t>
    <phoneticPr fontId="3"/>
  </si>
  <si>
    <t>（〜を）返す</t>
    <rPh sb="4" eb="5">
      <t xml:space="preserve">かえす </t>
    </rPh>
    <phoneticPr fontId="3" type="Hiragana"/>
  </si>
  <si>
    <t>牛乳パック</t>
    <rPh sb="0" eb="2">
      <t xml:space="preserve">ぎゅうにゅう </t>
    </rPh>
    <phoneticPr fontId="3" type="Hiragana"/>
  </si>
  <si>
    <t>milk carton</t>
    <phoneticPr fontId="3"/>
  </si>
  <si>
    <t>（〜を）洗い流す</t>
    <phoneticPr fontId="3" type="Hiragana"/>
  </si>
  <si>
    <t xml:space="preserve">to rinse </t>
    <phoneticPr fontId="3"/>
  </si>
  <si>
    <t>リサイクルをする</t>
    <phoneticPr fontId="3" type="Hiragana"/>
  </si>
  <si>
    <t>to recycle</t>
    <phoneticPr fontId="3"/>
  </si>
  <si>
    <t>食べ残し</t>
    <rPh sb="0" eb="1">
      <t xml:space="preserve">たべのこし </t>
    </rPh>
    <phoneticPr fontId="3" type="Hiragana"/>
  </si>
  <si>
    <t>leftovers</t>
    <phoneticPr fontId="3"/>
  </si>
  <si>
    <t>なるべく</t>
    <phoneticPr fontId="3" type="Hiragana"/>
  </si>
  <si>
    <t>as much as possible</t>
    <phoneticPr fontId="3"/>
  </si>
  <si>
    <t>ただ</t>
    <phoneticPr fontId="3" type="Hiragana"/>
  </si>
  <si>
    <t>完食する</t>
    <rPh sb="0" eb="2">
      <t xml:space="preserve">かんしょく </t>
    </rPh>
    <phoneticPr fontId="3" type="Hiragana"/>
  </si>
  <si>
    <t>to eat everything</t>
  </si>
  <si>
    <t>指導する</t>
    <rPh sb="0" eb="1">
      <t xml:space="preserve">しどう </t>
    </rPh>
    <phoneticPr fontId="3" type="Hiragana"/>
  </si>
  <si>
    <t>苦しい</t>
    <phoneticPr fontId="3" type="Hiragana"/>
  </si>
  <si>
    <t>distressing</t>
    <phoneticPr fontId="3"/>
  </si>
  <si>
    <t>思い</t>
    <rPh sb="0" eb="2">
      <t xml:space="preserve">おもい </t>
    </rPh>
    <phoneticPr fontId="3" type="Hiragana"/>
  </si>
  <si>
    <t>experience</t>
    <phoneticPr fontId="3"/>
  </si>
  <si>
    <t>現在</t>
    <rPh sb="0" eb="2">
      <t xml:space="preserve">げんざい </t>
    </rPh>
    <phoneticPr fontId="3" type="Hiragana"/>
  </si>
  <si>
    <t>多様性</t>
    <rPh sb="0" eb="1">
      <t>く</t>
    </rPh>
    <phoneticPr fontId="3" type="Hiragana"/>
  </si>
  <si>
    <t>配慮する</t>
    <rPh sb="0" eb="1">
      <t xml:space="preserve">はいりょする </t>
    </rPh>
    <phoneticPr fontId="3" type="Hiragana"/>
  </si>
  <si>
    <t>to give consideration to</t>
    <phoneticPr fontId="3"/>
  </si>
  <si>
    <t>苦手（な）</t>
    <rPh sb="0" eb="2">
      <t xml:space="preserve">にがて </t>
    </rPh>
    <phoneticPr fontId="3" type="Hiragana"/>
  </si>
  <si>
    <t>something disliked</t>
  </si>
  <si>
    <t>量</t>
    <rPh sb="0" eb="1">
      <t xml:space="preserve">りょう </t>
    </rPh>
    <phoneticPr fontId="3" type="Hiragana"/>
  </si>
  <si>
    <t>場合</t>
    <rPh sb="0" eb="2">
      <t xml:space="preserve">ばあい </t>
    </rPh>
    <phoneticPr fontId="3" type="Hiragana"/>
  </si>
  <si>
    <t>case</t>
    <phoneticPr fontId="3"/>
  </si>
  <si>
    <t>残す</t>
    <rPh sb="0" eb="1">
      <t xml:space="preserve">のこす </t>
    </rPh>
    <phoneticPr fontId="3" type="Hiragana"/>
  </si>
  <si>
    <t>食育</t>
    <rPh sb="0" eb="2">
      <t xml:space="preserve">しょくいく </t>
    </rPh>
    <phoneticPr fontId="3" type="Hiragana"/>
  </si>
  <si>
    <t>において</t>
    <phoneticPr fontId="3" type="Hiragana"/>
  </si>
  <si>
    <t>重要（な）</t>
    <rPh sb="0" eb="2">
      <t xml:space="preserve">じゅうよう </t>
    </rPh>
    <phoneticPr fontId="3" type="Hiragana"/>
  </si>
  <si>
    <t>位置づけ</t>
    <rPh sb="0" eb="2">
      <t xml:space="preserve">いちづけ </t>
    </rPh>
    <phoneticPr fontId="3" type="Hiragana"/>
  </si>
  <si>
    <t>健康</t>
    <rPh sb="0" eb="2">
      <t xml:space="preserve">けんこう </t>
    </rPh>
    <phoneticPr fontId="3" type="Hiragana"/>
  </si>
  <si>
    <t>支える</t>
    <rPh sb="0" eb="1">
      <t xml:space="preserve">ささえる </t>
    </rPh>
    <phoneticPr fontId="3" type="Hiragana"/>
  </si>
  <si>
    <t>文部科学省</t>
    <rPh sb="0" eb="5">
      <t>もんぶ</t>
    </rPh>
    <phoneticPr fontId="3" type="Hiragana"/>
  </si>
  <si>
    <t>Ministry of Education, Culture, Sports, Science and Technology</t>
    <phoneticPr fontId="3"/>
  </si>
  <si>
    <t>SEC2</t>
    <phoneticPr fontId="3" type="Hiragana"/>
  </si>
  <si>
    <t>地域</t>
    <rPh sb="0" eb="2">
      <t xml:space="preserve">ちいき </t>
    </rPh>
    <phoneticPr fontId="3" type="Hiragana"/>
  </si>
  <si>
    <t>想像する</t>
    <rPh sb="0" eb="1">
      <t xml:space="preserve">そうぞう </t>
    </rPh>
    <phoneticPr fontId="3" type="Hiragana"/>
  </si>
  <si>
    <t>to imagine</t>
    <phoneticPr fontId="3"/>
  </si>
  <si>
    <t>施設</t>
    <rPh sb="0" eb="2">
      <t xml:space="preserve">しせつ </t>
    </rPh>
    <phoneticPr fontId="3" type="Hiragana"/>
  </si>
  <si>
    <t>facility</t>
    <phoneticPr fontId="3"/>
  </si>
  <si>
    <t>ボランティア</t>
    <phoneticPr fontId="3" type="Hiragana"/>
  </si>
  <si>
    <t>自治体</t>
    <rPh sb="0" eb="3">
      <t xml:space="preserve">じちたい </t>
    </rPh>
    <phoneticPr fontId="3" type="Hiragana"/>
  </si>
  <si>
    <t>self-governmening body</t>
    <phoneticPr fontId="3"/>
  </si>
  <si>
    <t>法人</t>
    <rPh sb="0" eb="2">
      <t xml:space="preserve">ほうじん </t>
    </rPh>
    <phoneticPr fontId="3" type="Hiragana"/>
  </si>
  <si>
    <t>無料</t>
    <rPh sb="0" eb="2">
      <t xml:space="preserve">むりょう </t>
    </rPh>
    <phoneticPr fontId="3" type="Hiragana"/>
  </si>
  <si>
    <t>free of charge</t>
    <phoneticPr fontId="3"/>
  </si>
  <si>
    <t>安価</t>
    <rPh sb="0" eb="2">
      <t xml:space="preserve">あんか </t>
    </rPh>
    <phoneticPr fontId="3" type="Hiragana"/>
  </si>
  <si>
    <t>栄養</t>
    <rPh sb="0" eb="2">
      <t xml:space="preserve">えいよう </t>
    </rPh>
    <phoneticPr fontId="3" type="Hiragana"/>
  </si>
  <si>
    <t>暖かい</t>
    <rPh sb="0" eb="1">
      <t xml:space="preserve">あたたかい </t>
    </rPh>
    <phoneticPr fontId="3" type="Hiragana"/>
  </si>
  <si>
    <t xml:space="preserve">warm </t>
    <phoneticPr fontId="3"/>
  </si>
  <si>
    <t>団らん</t>
    <rPh sb="0" eb="1">
      <t xml:space="preserve">だんらん </t>
    </rPh>
    <phoneticPr fontId="3" type="Hiragana"/>
  </si>
  <si>
    <t>social gathering</t>
    <phoneticPr fontId="3"/>
  </si>
  <si>
    <t>提供する</t>
    <phoneticPr fontId="3" type="Hiragana"/>
  </si>
  <si>
    <t>コミュニティー</t>
    <phoneticPr fontId="3" type="Hiragana"/>
  </si>
  <si>
    <t>取り組み</t>
    <rPh sb="0" eb="1">
      <t xml:space="preserve">とりくみ </t>
    </rPh>
    <phoneticPr fontId="3" type="Hiragana"/>
  </si>
  <si>
    <t>東京</t>
    <rPh sb="0" eb="2">
      <t xml:space="preserve">とうきょう </t>
    </rPh>
    <phoneticPr fontId="3" type="Hiragana"/>
  </si>
  <si>
    <t>全国</t>
    <rPh sb="0" eb="2">
      <t xml:space="preserve">ぜんこく </t>
    </rPh>
    <phoneticPr fontId="3" type="Hiragana"/>
  </si>
  <si>
    <t>(number) か所</t>
    <rPh sb="10" eb="11">
      <t xml:space="preserve">しょ </t>
    </rPh>
    <phoneticPr fontId="3" type="Hiragana"/>
  </si>
  <si>
    <t>急激に</t>
    <rPh sb="0" eb="2">
      <t xml:space="preserve">きゅうげき </t>
    </rPh>
    <phoneticPr fontId="3" type="Hiragana"/>
  </si>
  <si>
    <t>rapidly</t>
    <phoneticPr fontId="3"/>
  </si>
  <si>
    <t>広がる</t>
    <rPh sb="0" eb="1">
      <t xml:space="preserve">ひろがる </t>
    </rPh>
    <phoneticPr fontId="3" type="Hiragana"/>
  </si>
  <si>
    <t>to spread</t>
    <phoneticPr fontId="3"/>
  </si>
  <si>
    <t>増加</t>
    <rPh sb="0" eb="2">
      <t xml:space="preserve">ぞうか </t>
    </rPh>
    <phoneticPr fontId="3" type="Hiragana"/>
  </si>
  <si>
    <t>increase</t>
    <phoneticPr fontId="3"/>
  </si>
  <si>
    <t>(number)年代</t>
    <rPh sb="8" eb="10">
      <t xml:space="preserve">ねんだい </t>
    </rPh>
    <phoneticPr fontId="3" type="Hiragana"/>
  </si>
  <si>
    <t>バブル経済崩壊</t>
    <rPh sb="3" eb="7">
      <t xml:space="preserve">けいざいほうかい </t>
    </rPh>
    <phoneticPr fontId="3" type="Hiragana"/>
  </si>
  <si>
    <t xml:space="preserve">burst of the bubble economy </t>
    <phoneticPr fontId="3"/>
  </si>
  <si>
    <t>リーマンショック</t>
    <phoneticPr fontId="3" type="Hiragana"/>
  </si>
  <si>
    <t xml:space="preserve">the 2008 financial crisis </t>
  </si>
  <si>
    <t>不況</t>
    <rPh sb="0" eb="2">
      <t xml:space="preserve">ふきょう </t>
    </rPh>
    <phoneticPr fontId="3" type="Hiragana"/>
  </si>
  <si>
    <t>加える</t>
    <rPh sb="0" eb="1">
      <t xml:space="preserve">くわえる </t>
    </rPh>
    <phoneticPr fontId="3" type="Hiragana"/>
  </si>
  <si>
    <t>新型コロナ</t>
    <rPh sb="0" eb="2">
      <t xml:space="preserve">しんがた </t>
    </rPh>
    <phoneticPr fontId="3" type="Hiragana"/>
  </si>
  <si>
    <t>COVID-19</t>
    <phoneticPr fontId="3"/>
  </si>
  <si>
    <t>感染拡大</t>
    <phoneticPr fontId="3"/>
  </si>
  <si>
    <t>不安定</t>
    <rPh sb="0" eb="3">
      <t xml:space="preserve">ふあんてい </t>
    </rPh>
    <phoneticPr fontId="3" type="Hiragana"/>
  </si>
  <si>
    <t>形態</t>
    <rPh sb="0" eb="2">
      <t xml:space="preserve">けいたい </t>
    </rPh>
    <phoneticPr fontId="3" type="Hiragana"/>
  </si>
  <si>
    <t>変化</t>
    <rPh sb="0" eb="2">
      <t xml:space="preserve">へんか </t>
    </rPh>
    <phoneticPr fontId="3" type="Hiragana"/>
  </si>
  <si>
    <t>（〜に）起因する</t>
    <rPh sb="4" eb="6">
      <t xml:space="preserve">きいんすえう </t>
    </rPh>
    <phoneticPr fontId="3" type="Hiragana"/>
  </si>
  <si>
    <t>to be caused by</t>
  </si>
  <si>
    <t>収入</t>
    <rPh sb="0" eb="2">
      <t xml:space="preserve">しゅうにゅう </t>
    </rPh>
    <phoneticPr fontId="3" type="Hiragana"/>
  </si>
  <si>
    <t>による</t>
    <phoneticPr fontId="3" type="Hiragana"/>
  </si>
  <si>
    <t>due to</t>
    <phoneticPr fontId="3"/>
  </si>
  <si>
    <t>相対的（な）</t>
    <rPh sb="0" eb="3">
      <t xml:space="preserve">そうたいてき </t>
    </rPh>
    <phoneticPr fontId="3" type="Hiragana"/>
  </si>
  <si>
    <t>貧困率</t>
    <rPh sb="0" eb="3">
      <t xml:space="preserve">ひんこんりつ </t>
    </rPh>
    <phoneticPr fontId="3" type="Hiragana"/>
  </si>
  <si>
    <t>poverty rate</t>
    <phoneticPr fontId="3"/>
  </si>
  <si>
    <t>年々</t>
    <rPh sb="0" eb="1">
      <t xml:space="preserve">ねんえん </t>
    </rPh>
    <phoneticPr fontId="3" type="Hiragana"/>
  </si>
  <si>
    <t>year by year</t>
    <phoneticPr fontId="3"/>
  </si>
  <si>
    <t>上昇する</t>
    <rPh sb="0" eb="2">
      <t xml:space="preserve">じょうしょうする </t>
    </rPh>
    <phoneticPr fontId="3" type="Hiragana"/>
  </si>
  <si>
    <t>じょうしょうする</t>
    <phoneticPr fontId="3"/>
  </si>
  <si>
    <t>to rise</t>
    <phoneticPr fontId="3"/>
  </si>
  <si>
    <t>現在</t>
    <rPh sb="0" eb="1">
      <t xml:space="preserve">げんざい </t>
    </rPh>
    <phoneticPr fontId="3" type="Hiragana"/>
  </si>
  <si>
    <t>およそ</t>
    <phoneticPr fontId="3" type="Hiragana"/>
  </si>
  <si>
    <t>貧困状態</t>
    <rPh sb="0" eb="1">
      <t xml:space="preserve">ひんこんじょうたい </t>
    </rPh>
    <phoneticPr fontId="3" type="Hiragana"/>
  </si>
  <si>
    <t xml:space="preserve">to be in poverty </t>
    <phoneticPr fontId="3"/>
  </si>
  <si>
    <t>一人親家庭</t>
    <rPh sb="0" eb="3">
      <t xml:space="preserve">ひとりおや </t>
    </rPh>
    <rPh sb="3" eb="5">
      <t xml:space="preserve">かてい </t>
    </rPh>
    <phoneticPr fontId="3" type="Hiragana"/>
  </si>
  <si>
    <t>水準</t>
    <rPh sb="0" eb="2">
      <t xml:space="preserve">すいじゅん </t>
    </rPh>
    <phoneticPr fontId="3" type="Hiragana"/>
  </si>
  <si>
    <t>standard</t>
  </si>
  <si>
    <t>厚生労働省</t>
    <rPh sb="0" eb="5">
      <t xml:space="preserve">こうせいろうどうしょう </t>
    </rPh>
    <phoneticPr fontId="3" type="Hiragana"/>
  </si>
  <si>
    <t>Ministry of Health, Labor, and Welfare</t>
    <phoneticPr fontId="3"/>
  </si>
  <si>
    <t>困窮</t>
    <rPh sb="0" eb="2">
      <t xml:space="preserve">こんきゅう </t>
    </rPh>
    <phoneticPr fontId="3" type="Hiragana"/>
  </si>
  <si>
    <t>distress</t>
    <phoneticPr fontId="3"/>
  </si>
  <si>
    <t>食生活</t>
    <rPh sb="0" eb="3">
      <t xml:space="preserve">しょくせいかつ </t>
    </rPh>
    <phoneticPr fontId="3" type="Hiragana"/>
  </si>
  <si>
    <t>深刻（な）</t>
    <rPh sb="0" eb="1">
      <t xml:space="preserve">しんこく </t>
    </rPh>
    <phoneticPr fontId="3" type="Hiragana"/>
  </si>
  <si>
    <t>influence</t>
    <phoneticPr fontId="3"/>
  </si>
  <si>
    <t>to give</t>
    <phoneticPr fontId="3"/>
  </si>
  <si>
    <t>孤食</t>
    <rPh sb="0" eb="2">
      <t xml:space="preserve">こしょく </t>
    </rPh>
    <phoneticPr fontId="3" type="Hiragana"/>
  </si>
  <si>
    <t>a solitary meal</t>
    <phoneticPr fontId="3"/>
  </si>
  <si>
    <t>状況</t>
    <rPh sb="0" eb="2">
      <t xml:space="preserve">じょうきょう </t>
    </rPh>
    <phoneticPr fontId="3" type="Hiragana"/>
  </si>
  <si>
    <t>（〜を）生み出す</t>
    <rPh sb="4" eb="5">
      <t xml:space="preserve">うみだす </t>
    </rPh>
    <phoneticPr fontId="3" type="Hiragana"/>
  </si>
  <si>
    <t>to produce</t>
    <phoneticPr fontId="3"/>
  </si>
  <si>
    <t>孤独（な）</t>
    <rPh sb="0" eb="2">
      <t xml:space="preserve">こどく </t>
    </rPh>
    <phoneticPr fontId="3" type="Hiragana"/>
  </si>
  <si>
    <t>lonely</t>
    <phoneticPr fontId="3"/>
  </si>
  <si>
    <t>コミュニケーション不足</t>
    <rPh sb="9" eb="11">
      <t xml:space="preserve">ふそく </t>
    </rPh>
    <phoneticPr fontId="3" type="Hiragana"/>
  </si>
  <si>
    <t>a lack of communication</t>
    <phoneticPr fontId="3"/>
  </si>
  <si>
    <t>（〜に）対する</t>
    <phoneticPr fontId="3"/>
  </si>
  <si>
    <t>towards</t>
    <phoneticPr fontId="3"/>
  </si>
  <si>
    <t>憂鬱感</t>
    <rPh sb="0" eb="3">
      <t xml:space="preserve">ゆううつかん </t>
    </rPh>
    <phoneticPr fontId="3" type="Hiragana"/>
  </si>
  <si>
    <t>depressed mood</t>
  </si>
  <si>
    <t>増す</t>
    <rPh sb="0" eb="1">
      <t xml:space="preserve">ふやす </t>
    </rPh>
    <phoneticPr fontId="3" type="Hiragana"/>
  </si>
  <si>
    <t>to increase</t>
    <phoneticPr fontId="3"/>
  </si>
  <si>
    <t>社会性</t>
    <rPh sb="0" eb="3">
      <t xml:space="preserve">しゃかいせい </t>
    </rPh>
    <phoneticPr fontId="3" type="Hiragana"/>
  </si>
  <si>
    <t xml:space="preserve">sociability </t>
    <phoneticPr fontId="3"/>
  </si>
  <si>
    <t>欠如</t>
    <rPh sb="0" eb="2">
      <t xml:space="preserve">けつじょ </t>
    </rPh>
    <phoneticPr fontId="3" type="Hiragana"/>
  </si>
  <si>
    <t>背景</t>
    <rPh sb="0" eb="2">
      <t xml:space="preserve">はいけい </t>
    </rPh>
    <phoneticPr fontId="3" type="Hiragana"/>
  </si>
  <si>
    <t>食</t>
    <rPh sb="0" eb="1">
      <t xml:space="preserve">ショク </t>
    </rPh>
    <phoneticPr fontId="3"/>
  </si>
  <si>
    <t>しょく</t>
    <phoneticPr fontId="3"/>
  </si>
  <si>
    <t>food</t>
    <phoneticPr fontId="3"/>
  </si>
  <si>
    <t>第一号</t>
    <rPh sb="0" eb="3">
      <t xml:space="preserve">だいいちごう </t>
    </rPh>
    <phoneticPr fontId="3" type="Hiragana"/>
  </si>
  <si>
    <t>事情</t>
    <rPh sb="0" eb="2">
      <t xml:space="preserve">じじょう </t>
    </rPh>
    <phoneticPr fontId="3" type="Hiragana"/>
  </si>
  <si>
    <t>満足</t>
    <rPh sb="0" eb="2">
      <t xml:space="preserve">まんぞく </t>
    </rPh>
    <phoneticPr fontId="3" type="Hiragana"/>
  </si>
  <si>
    <t>shop owner</t>
    <phoneticPr fontId="3"/>
  </si>
  <si>
    <t>により</t>
    <phoneticPr fontId="3" type="Hiragana"/>
  </si>
  <si>
    <t>開設する</t>
    <rPh sb="0" eb="2">
      <t xml:space="preserve">かいせつ </t>
    </rPh>
    <phoneticPr fontId="3" type="Hiragana"/>
  </si>
  <si>
    <t>コイン</t>
    <phoneticPr fontId="3" type="Hiragana"/>
  </si>
  <si>
    <t>ゲーム</t>
    <phoneticPr fontId="3" type="Hiragana"/>
  </si>
  <si>
    <t>無料</t>
    <rPh sb="0" eb="1">
      <t xml:space="preserve">むりょう </t>
    </rPh>
    <phoneticPr fontId="3" type="Hiragana"/>
  </si>
  <si>
    <t>運営</t>
    <rPh sb="0" eb="2">
      <t xml:space="preserve">うんえいかんけいしゃ </t>
    </rPh>
    <phoneticPr fontId="3" type="Hiragana"/>
  </si>
  <si>
    <t>慈善行為</t>
    <rPh sb="0" eb="2">
      <t xml:space="preserve">じぜん </t>
    </rPh>
    <phoneticPr fontId="3" type="Hiragana"/>
  </si>
  <si>
    <t>自尊心</t>
    <rPh sb="0" eb="1">
      <t xml:space="preserve">じそんしん </t>
    </rPh>
    <phoneticPr fontId="3" type="Hiragana"/>
  </si>
  <si>
    <t>（〜を）保つ</t>
    <rPh sb="4" eb="5">
      <t xml:space="preserve">たもつ </t>
    </rPh>
    <phoneticPr fontId="3" type="Hiragana"/>
  </si>
  <si>
    <t>to keep</t>
    <phoneticPr fontId="3"/>
  </si>
  <si>
    <t>提供する</t>
    <rPh sb="0" eb="2">
      <t xml:space="preserve">ていきょう </t>
    </rPh>
    <phoneticPr fontId="3" type="Hiragana"/>
  </si>
  <si>
    <t>場</t>
    <rPh sb="0" eb="1">
      <t>ば</t>
    </rPh>
    <phoneticPr fontId="3" type="Hiragana"/>
  </si>
  <si>
    <t>高齢者</t>
    <rPh sb="0" eb="3">
      <t xml:space="preserve">こうれいしゃ </t>
    </rPh>
    <phoneticPr fontId="3" type="Hiragana"/>
  </si>
  <si>
    <t>障がい者</t>
    <rPh sb="0" eb="1">
      <t xml:space="preserve">しょうがいしゃ </t>
    </rPh>
    <phoneticPr fontId="3" type="Hiragana"/>
  </si>
  <si>
    <t>person with disabilities</t>
  </si>
  <si>
    <t>立ち寄る</t>
    <rPh sb="0" eb="1">
      <t xml:space="preserve">たちより </t>
    </rPh>
    <phoneticPr fontId="3" type="Hiragana"/>
  </si>
  <si>
    <t>to stop by</t>
    <phoneticPr fontId="3"/>
  </si>
  <si>
    <t>場所</t>
    <rPh sb="0" eb="2">
      <t xml:space="preserve">ばしょ </t>
    </rPh>
    <phoneticPr fontId="3" type="Hiragana"/>
  </si>
  <si>
    <t>place</t>
    <phoneticPr fontId="3"/>
  </si>
  <si>
    <t>学び</t>
    <rPh sb="0" eb="1">
      <t xml:space="preserve">まなび </t>
    </rPh>
    <phoneticPr fontId="3" type="Hiragana"/>
  </si>
  <si>
    <t>成長</t>
    <rPh sb="0" eb="2">
      <t xml:space="preserve">せいちょう </t>
    </rPh>
    <phoneticPr fontId="3" type="Hiragana"/>
  </si>
  <si>
    <t>支援</t>
    <rPh sb="0" eb="1">
      <t xml:space="preserve">しえん </t>
    </rPh>
    <phoneticPr fontId="3" type="Hiragana"/>
  </si>
  <si>
    <t>出会い</t>
    <rPh sb="0" eb="2">
      <t xml:space="preserve">であい </t>
    </rPh>
    <phoneticPr fontId="3" type="Hiragana"/>
  </si>
  <si>
    <t>薄れる</t>
    <rPh sb="0" eb="1">
      <t xml:space="preserve">うすれる </t>
    </rPh>
    <phoneticPr fontId="3" type="Hiragana"/>
  </si>
  <si>
    <t>人々</t>
    <rPh sb="0" eb="1">
      <t xml:space="preserve">ひとびと </t>
    </rPh>
    <phoneticPr fontId="3" type="Hiragana"/>
  </si>
  <si>
    <t>connection</t>
    <phoneticPr fontId="3"/>
  </si>
  <si>
    <t>役割</t>
    <phoneticPr fontId="3"/>
  </si>
  <si>
    <t>（〜を）担う</t>
    <rPh sb="4" eb="5">
      <t xml:space="preserve">になう </t>
    </rPh>
    <phoneticPr fontId="3" type="Hiragana"/>
  </si>
  <si>
    <t>受ける</t>
    <rPh sb="0" eb="1">
      <t xml:space="preserve">うける </t>
    </rPh>
    <phoneticPr fontId="3" type="Hiragana"/>
  </si>
  <si>
    <t>厳しい</t>
    <rPh sb="0" eb="1">
      <t xml:space="preserve">きびしい </t>
    </rPh>
    <phoneticPr fontId="3" type="Hiragana"/>
  </si>
  <si>
    <t>tough (situation)</t>
    <phoneticPr fontId="3"/>
  </si>
  <si>
    <t>経験する</t>
    <rPh sb="0" eb="1">
      <t xml:space="preserve">けいけん </t>
    </rPh>
    <phoneticPr fontId="3" type="Hiragana"/>
  </si>
  <si>
    <t>to experience</t>
    <phoneticPr fontId="3"/>
  </si>
  <si>
    <t>近所</t>
    <rPh sb="0" eb="2">
      <t xml:space="preserve">きんじょ </t>
    </rPh>
    <phoneticPr fontId="3" type="Hiragana"/>
  </si>
  <si>
    <t>neighborhood</t>
    <phoneticPr fontId="3"/>
  </si>
  <si>
    <t>26</t>
    <phoneticPr fontId="3" type="Hiragana"/>
  </si>
  <si>
    <t>担う</t>
    <rPh sb="0" eb="1">
      <t xml:space="preserve">になう </t>
    </rPh>
    <phoneticPr fontId="3" type="Hiragana"/>
  </si>
  <si>
    <t xml:space="preserve">かくさ </t>
  </si>
  <si>
    <t>おもいで</t>
  </si>
  <si>
    <t xml:space="preserve">ちゅうしょく </t>
  </si>
  <si>
    <t xml:space="preserve">こんだて </t>
  </si>
  <si>
    <t>たきこみごはん</t>
  </si>
  <si>
    <t>うどん</t>
  </si>
  <si>
    <t>（〜が）まちどおしい</t>
  </si>
  <si>
    <t xml:space="preserve">とうばん </t>
  </si>
  <si>
    <t>ちょうりいん</t>
  </si>
  <si>
    <t>くばる</t>
  </si>
  <si>
    <t xml:space="preserve">はくい </t>
  </si>
  <si>
    <t>てきぱきと</t>
  </si>
  <si>
    <t>（〜が）おそくなる</t>
  </si>
  <si>
    <t>せきにんじゅうだい</t>
  </si>
  <si>
    <t>やきそば</t>
  </si>
  <si>
    <t>おおめ</t>
  </si>
  <si>
    <t>（〜を）よそう</t>
  </si>
  <si>
    <t>なつかしい</t>
  </si>
  <si>
    <t>（〜を）つうじて</t>
  </si>
  <si>
    <t>まなぶ</t>
  </si>
  <si>
    <t>すききらい</t>
  </si>
  <si>
    <t>ばらんす</t>
  </si>
  <si>
    <t>むだにする</t>
  </si>
  <si>
    <t>（〜を）かえす</t>
  </si>
  <si>
    <t>ぎゅうにゅうぱっく</t>
  </si>
  <si>
    <t>（〜を）あらいながす</t>
  </si>
  <si>
    <t>りさいくるをする</t>
  </si>
  <si>
    <t>たべのこし</t>
  </si>
  <si>
    <t>なるべく</t>
  </si>
  <si>
    <t>ただ</t>
  </si>
  <si>
    <t>かんしょくする</t>
  </si>
  <si>
    <t>しどうする</t>
  </si>
  <si>
    <t>くるしい</t>
  </si>
  <si>
    <t xml:space="preserve">おもい </t>
  </si>
  <si>
    <t>たようせい</t>
  </si>
  <si>
    <t>はいりょする</t>
  </si>
  <si>
    <t xml:space="preserve">りょう </t>
  </si>
  <si>
    <t xml:space="preserve">ばあい </t>
  </si>
  <si>
    <t>のこす</t>
  </si>
  <si>
    <t xml:space="preserve">しょくいく </t>
  </si>
  <si>
    <t>において</t>
  </si>
  <si>
    <t>じゅうよう （な）</t>
  </si>
  <si>
    <t>いちづけ</t>
  </si>
  <si>
    <t xml:space="preserve">けんこう </t>
  </si>
  <si>
    <t>ささえる</t>
  </si>
  <si>
    <t>もんぶかがくしょう</t>
  </si>
  <si>
    <t>そうぞうする</t>
  </si>
  <si>
    <t xml:space="preserve">しせつ </t>
  </si>
  <si>
    <t>ぼらんてぃあ</t>
  </si>
  <si>
    <t xml:space="preserve">じちたい </t>
  </si>
  <si>
    <t xml:space="preserve">ほうじん </t>
  </si>
  <si>
    <t xml:space="preserve">むりょう </t>
  </si>
  <si>
    <t xml:space="preserve">あんか </t>
  </si>
  <si>
    <t xml:space="preserve">えいよう </t>
  </si>
  <si>
    <t>だんらん</t>
  </si>
  <si>
    <t>ていきょうする</t>
  </si>
  <si>
    <t xml:space="preserve">とうきょう </t>
  </si>
  <si>
    <t xml:space="preserve">ぜんこく </t>
  </si>
  <si>
    <t xml:space="preserve">(number) かしょ </t>
  </si>
  <si>
    <t>きゅうげき に</t>
  </si>
  <si>
    <t>ひろがる</t>
  </si>
  <si>
    <t xml:space="preserve">ぞうか </t>
  </si>
  <si>
    <t xml:space="preserve">(number)ねんだい </t>
  </si>
  <si>
    <t xml:space="preserve">ばぶるけいざいほうかい </t>
  </si>
  <si>
    <t xml:space="preserve">ふきょう </t>
  </si>
  <si>
    <t>くわえる</t>
  </si>
  <si>
    <t>しんがたころな</t>
  </si>
  <si>
    <t>かんせんかくだい</t>
  </si>
  <si>
    <t xml:space="preserve">ふあんてい </t>
  </si>
  <si>
    <t xml:space="preserve">けいたい </t>
  </si>
  <si>
    <t xml:space="preserve">へんか </t>
  </si>
  <si>
    <t>（〜に）きいんする</t>
  </si>
  <si>
    <t xml:space="preserve">しゅうにゅう </t>
  </si>
  <si>
    <t>による</t>
  </si>
  <si>
    <t>そうたいてき （な）</t>
  </si>
  <si>
    <t xml:space="preserve">ひんこんりつ </t>
  </si>
  <si>
    <t>ねんねん</t>
  </si>
  <si>
    <t>およそ</t>
  </si>
  <si>
    <t>ひんこんじょうたい</t>
  </si>
  <si>
    <t xml:space="preserve">すいじゅん </t>
  </si>
  <si>
    <t xml:space="preserve">こうせいろうどうしょう </t>
  </si>
  <si>
    <t xml:space="preserve">こんきゅう </t>
  </si>
  <si>
    <t xml:space="preserve">しょくせいかつ </t>
  </si>
  <si>
    <t>しんこく（な）</t>
  </si>
  <si>
    <t xml:space="preserve">こしょく </t>
  </si>
  <si>
    <t xml:space="preserve">じょうきょう </t>
  </si>
  <si>
    <t>（〜を）うみだす</t>
  </si>
  <si>
    <t>こどく （な）</t>
  </si>
  <si>
    <t xml:space="preserve">ゆううつかん </t>
  </si>
  <si>
    <t>ます</t>
  </si>
  <si>
    <t xml:space="preserve">しゃかいせい </t>
  </si>
  <si>
    <t xml:space="preserve">けつじょ </t>
  </si>
  <si>
    <t>しょく</t>
  </si>
  <si>
    <t xml:space="preserve">だいいちごう </t>
  </si>
  <si>
    <t xml:space="preserve">じじょう </t>
  </si>
  <si>
    <t xml:space="preserve">まんぞく </t>
  </si>
  <si>
    <t>により</t>
  </si>
  <si>
    <t>かいせつする</t>
  </si>
  <si>
    <t>えん</t>
  </si>
  <si>
    <t>こいん</t>
  </si>
  <si>
    <t>げーむ</t>
  </si>
  <si>
    <t>うんえい</t>
  </si>
  <si>
    <t>じぜんこうい</t>
  </si>
  <si>
    <t>じそんしん</t>
  </si>
  <si>
    <t>（〜を）たもつ</t>
  </si>
  <si>
    <t>ば</t>
  </si>
  <si>
    <t xml:space="preserve">こうれいしゃ </t>
  </si>
  <si>
    <t>しょうがいしゃ</t>
  </si>
  <si>
    <t>たちよる</t>
  </si>
  <si>
    <t xml:space="preserve">ばしょ </t>
  </si>
  <si>
    <t xml:space="preserve">せいちょう </t>
  </si>
  <si>
    <t>しえん</t>
  </si>
  <si>
    <t>であい</t>
  </si>
  <si>
    <t>うすれる</t>
  </si>
  <si>
    <t>役割</t>
  </si>
  <si>
    <t>（〜を）になう</t>
  </si>
  <si>
    <t>うける</t>
  </si>
  <si>
    <t>きびしい</t>
  </si>
  <si>
    <t>けいけんする</t>
  </si>
  <si>
    <t xml:space="preserve">きんじょ </t>
  </si>
  <si>
    <t>になう</t>
  </si>
  <si>
    <t>L8</t>
    <phoneticPr fontId="3" type="Hiragana"/>
  </si>
  <si>
    <t>長寿</t>
    <rPh sb="0" eb="2">
      <t xml:space="preserve">ちょうじゅ </t>
    </rPh>
    <phoneticPr fontId="3" type="Hiragana"/>
  </si>
  <si>
    <t>発酵食品</t>
    <rPh sb="0" eb="2">
      <t>はっこう</t>
    </rPh>
    <phoneticPr fontId="3" type="Hiragana"/>
  </si>
  <si>
    <t>はっこうしょくひん</t>
    <phoneticPr fontId="3"/>
  </si>
  <si>
    <t>fermented food</t>
    <phoneticPr fontId="3"/>
  </si>
  <si>
    <t>ヨーグルト</t>
    <phoneticPr fontId="3" type="Hiragana"/>
  </si>
  <si>
    <t>yogurt</t>
    <phoneticPr fontId="3"/>
  </si>
  <si>
    <t>白書</t>
    <rPh sb="0" eb="2">
      <t xml:space="preserve">はくしょ </t>
    </rPh>
    <phoneticPr fontId="3" type="Hiragana"/>
  </si>
  <si>
    <t>white paper (in-depth report)</t>
    <phoneticPr fontId="3"/>
  </si>
  <si>
    <t>平均寿命</t>
    <rPh sb="0" eb="2">
      <t xml:space="preserve">へいきん </t>
    </rPh>
    <phoneticPr fontId="3" type="Hiragana"/>
  </si>
  <si>
    <t>へいきんじゅみょう</t>
    <phoneticPr fontId="3"/>
  </si>
  <si>
    <t>average lifespan</t>
    <phoneticPr fontId="3"/>
  </si>
  <si>
    <t>女性</t>
    <rPh sb="0" eb="2">
      <t xml:space="preserve">じょせい </t>
    </rPh>
    <phoneticPr fontId="3" type="Hiragana"/>
  </si>
  <si>
    <t>female</t>
    <phoneticPr fontId="3"/>
  </si>
  <si>
    <t>〜歳</t>
    <rPh sb="1" eb="2">
      <t xml:space="preserve">さい </t>
    </rPh>
    <phoneticPr fontId="3" type="Hiragana"/>
  </si>
  <si>
    <t>男女とも</t>
    <rPh sb="0" eb="2">
      <t xml:space="preserve">だんじょとも </t>
    </rPh>
    <phoneticPr fontId="3" type="Hiragana"/>
  </si>
  <si>
    <t>だんじょとも</t>
    <phoneticPr fontId="3"/>
  </si>
  <si>
    <t>第1位</t>
    <rPh sb="0" eb="1">
      <t xml:space="preserve">だい </t>
    </rPh>
    <rPh sb="2" eb="3">
      <t xml:space="preserve">い </t>
    </rPh>
    <phoneticPr fontId="3" type="Hiragana"/>
  </si>
  <si>
    <t>秘訣</t>
    <rPh sb="0" eb="2">
      <t xml:space="preserve">ひけつ </t>
    </rPh>
    <phoneticPr fontId="3" type="Hiragana"/>
  </si>
  <si>
    <t>ヘルシー（な）</t>
    <phoneticPr fontId="3" type="Hiragana"/>
  </si>
  <si>
    <t>欠かせない</t>
    <rPh sb="0" eb="1">
      <t xml:space="preserve">かかせない </t>
    </rPh>
    <phoneticPr fontId="3" type="Hiragana"/>
  </si>
  <si>
    <t>かかせない</t>
    <phoneticPr fontId="3"/>
  </si>
  <si>
    <t>essential</t>
    <phoneticPr fontId="3"/>
  </si>
  <si>
    <t>酢</t>
    <rPh sb="0" eb="1">
      <t xml:space="preserve">す </t>
    </rPh>
    <phoneticPr fontId="3" type="Hiragana"/>
  </si>
  <si>
    <t>全て</t>
    <rPh sb="0" eb="1">
      <t xml:space="preserve">すべて </t>
    </rPh>
    <phoneticPr fontId="3" type="Hiragana"/>
  </si>
  <si>
    <t>すべて</t>
    <phoneticPr fontId="3"/>
  </si>
  <si>
    <t>微生物</t>
    <rPh sb="0" eb="3">
      <t xml:space="preserve">びせいぶつ </t>
    </rPh>
    <phoneticPr fontId="3" type="Hiragana"/>
  </si>
  <si>
    <t>microbe, microorganism</t>
    <phoneticPr fontId="3"/>
  </si>
  <si>
    <t>働き</t>
    <phoneticPr fontId="3" type="Hiragana"/>
  </si>
  <si>
    <t>はたらき</t>
    <phoneticPr fontId="3"/>
  </si>
  <si>
    <t>function</t>
    <phoneticPr fontId="3"/>
  </si>
  <si>
    <t>かつおぶし</t>
    <phoneticPr fontId="3" type="Hiragana"/>
  </si>
  <si>
    <t xml:space="preserve">bonito flakes </t>
    <phoneticPr fontId="3"/>
  </si>
  <si>
    <t>干す</t>
    <rPh sb="0" eb="1">
      <t>ほす</t>
    </rPh>
    <phoneticPr fontId="3" type="Hiragana"/>
  </si>
  <si>
    <t>ほす</t>
    <phoneticPr fontId="3"/>
  </si>
  <si>
    <t xml:space="preserve">to dry </t>
    <phoneticPr fontId="3"/>
  </si>
  <si>
    <t>カツオ</t>
    <phoneticPr fontId="3" type="Hiragana"/>
  </si>
  <si>
    <t>（〜が）発酵する</t>
    <rPh sb="4" eb="5">
      <t xml:space="preserve">はっこう </t>
    </rPh>
    <phoneticPr fontId="3" type="Hiragana"/>
  </si>
  <si>
    <t>（〜が）はっこうする</t>
    <phoneticPr fontId="3"/>
  </si>
  <si>
    <t>to ferment</t>
    <phoneticPr fontId="3"/>
  </si>
  <si>
    <t>出汁</t>
    <rPh sb="0" eb="1">
      <t xml:space="preserve">だし </t>
    </rPh>
    <phoneticPr fontId="3" type="Hiragana"/>
  </si>
  <si>
    <t>油脂</t>
    <rPh sb="0" eb="2">
      <t xml:space="preserve">ゆし </t>
    </rPh>
    <phoneticPr fontId="3" type="Hiragana"/>
  </si>
  <si>
    <t>分解する</t>
    <rPh sb="0" eb="2">
      <t xml:space="preserve">ぶんかいする </t>
    </rPh>
    <phoneticPr fontId="3" type="Hiragana"/>
  </si>
  <si>
    <t>ぶんかいする</t>
    <phoneticPr fontId="3"/>
  </si>
  <si>
    <t>スープストック</t>
    <phoneticPr fontId="3" type="Hiragana"/>
  </si>
  <si>
    <t>soup stock</t>
    <phoneticPr fontId="3"/>
  </si>
  <si>
    <t>脂肪分</t>
    <rPh sb="0" eb="2">
      <t xml:space="preserve">しぼうぶん </t>
    </rPh>
    <phoneticPr fontId="3" type="Hiragana"/>
  </si>
  <si>
    <t>しぼうぶん</t>
    <phoneticPr fontId="3"/>
  </si>
  <si>
    <t>さらに</t>
    <phoneticPr fontId="3" type="Hiragana"/>
  </si>
  <si>
    <t>甘味</t>
    <rPh sb="0" eb="2">
      <t xml:space="preserve">かんみ </t>
    </rPh>
    <phoneticPr fontId="3" type="Hiragana"/>
  </si>
  <si>
    <t>塩味</t>
    <rPh sb="0" eb="2">
      <t xml:space="preserve">しおあじ </t>
    </rPh>
    <phoneticPr fontId="3" type="Hiragana"/>
  </si>
  <si>
    <t>酸味</t>
    <rPh sb="0" eb="2">
      <t xml:space="preserve">さんみ </t>
    </rPh>
    <phoneticPr fontId="3" type="Hiragana"/>
  </si>
  <si>
    <t>sourness</t>
    <phoneticPr fontId="3"/>
  </si>
  <si>
    <t>苦味</t>
    <rPh sb="0" eb="2">
      <t xml:space="preserve">にがみ </t>
    </rPh>
    <phoneticPr fontId="3" type="Hiragana"/>
  </si>
  <si>
    <t>（〜を）加える</t>
    <phoneticPr fontId="3" type="Hiragana"/>
  </si>
  <si>
    <t>（〜を）くわえる</t>
    <phoneticPr fontId="3"/>
  </si>
  <si>
    <t>味覚</t>
    <phoneticPr fontId="3" type="Hiragana"/>
  </si>
  <si>
    <t>みかく</t>
    <phoneticPr fontId="3"/>
  </si>
  <si>
    <t xml:space="preserve">sense of taste </t>
    <phoneticPr fontId="3"/>
  </si>
  <si>
    <t>うま味</t>
    <phoneticPr fontId="3" type="Hiragana"/>
  </si>
  <si>
    <t>うまみ</t>
    <phoneticPr fontId="3"/>
  </si>
  <si>
    <t>(〜が）含まれる</t>
    <phoneticPr fontId="3"/>
  </si>
  <si>
    <t>（〜が）ふくまれる</t>
    <phoneticPr fontId="3"/>
  </si>
  <si>
    <t xml:space="preserve">to be included </t>
    <phoneticPr fontId="3"/>
  </si>
  <si>
    <t>納豆</t>
    <rPh sb="0" eb="2">
      <t xml:space="preserve">なっとう </t>
    </rPh>
    <phoneticPr fontId="3" type="Hiragana"/>
  </si>
  <si>
    <t xml:space="preserve">fermented soybeans </t>
    <phoneticPr fontId="3"/>
  </si>
  <si>
    <t>原料</t>
    <rPh sb="0" eb="2">
      <t xml:space="preserve">げんりょう </t>
    </rPh>
    <phoneticPr fontId="3" type="Hiragana"/>
  </si>
  <si>
    <t xml:space="preserve">ingredients </t>
    <phoneticPr fontId="3"/>
  </si>
  <si>
    <t>大豆</t>
    <rPh sb="0" eb="2">
      <t xml:space="preserve">だいず </t>
    </rPh>
    <phoneticPr fontId="3" type="Hiragana"/>
  </si>
  <si>
    <t xml:space="preserve">soy beans </t>
    <phoneticPr fontId="3"/>
  </si>
  <si>
    <t xml:space="preserve">たんぱくしつ </t>
    <phoneticPr fontId="3"/>
  </si>
  <si>
    <t>豊富（な）</t>
    <rPh sb="0" eb="2">
      <t xml:space="preserve">ほうふ </t>
    </rPh>
    <phoneticPr fontId="3" type="Hiragana"/>
  </si>
  <si>
    <t>豆腐</t>
    <rPh sb="0" eb="2">
      <t xml:space="preserve">とうふ </t>
    </rPh>
    <phoneticPr fontId="3" type="Hiragana"/>
  </si>
  <si>
    <t>ビタミン</t>
    <phoneticPr fontId="3" type="Hiragana"/>
  </si>
  <si>
    <t>（〜を）摂る</t>
    <rPh sb="4" eb="5">
      <t xml:space="preserve">とる </t>
    </rPh>
    <phoneticPr fontId="3" type="Hiragana"/>
  </si>
  <si>
    <t>（〜を）とる</t>
    <phoneticPr fontId="3"/>
  </si>
  <si>
    <t>腸内</t>
    <rPh sb="0" eb="2">
      <t xml:space="preserve">ちょうない </t>
    </rPh>
    <phoneticPr fontId="3" type="Hiragana"/>
  </si>
  <si>
    <t>inside the intestines</t>
    <phoneticPr fontId="3"/>
  </si>
  <si>
    <t>免疫力</t>
    <rPh sb="0" eb="3">
      <t xml:space="preserve">めんえきりょく </t>
    </rPh>
    <phoneticPr fontId="3" type="Hiragana"/>
  </si>
  <si>
    <t>immunity</t>
    <phoneticPr fontId="3"/>
  </si>
  <si>
    <t>（〜を）高める</t>
    <rPh sb="4" eb="5">
      <t xml:space="preserve">たかめる </t>
    </rPh>
    <phoneticPr fontId="3" type="Hiragana"/>
  </si>
  <si>
    <t>（〜を）たかめる</t>
    <phoneticPr fontId="3"/>
  </si>
  <si>
    <t>匂い</t>
    <rPh sb="0" eb="1">
      <t xml:space="preserve">におい </t>
    </rPh>
    <phoneticPr fontId="3" type="Hiragana"/>
  </si>
  <si>
    <t>におい</t>
    <phoneticPr fontId="3"/>
  </si>
  <si>
    <t>smell</t>
    <phoneticPr fontId="3"/>
  </si>
  <si>
    <t>苦手</t>
    <rPh sb="0" eb="2">
      <t xml:space="preserve">にがて </t>
    </rPh>
    <phoneticPr fontId="3" type="Hiragana"/>
  </si>
  <si>
    <t>dislike</t>
  </si>
  <si>
    <t>友人</t>
    <rPh sb="0" eb="2">
      <t xml:space="preserve">ユウジン </t>
    </rPh>
    <phoneticPr fontId="3"/>
  </si>
  <si>
    <t>ゆうじん</t>
    <phoneticPr fontId="3"/>
  </si>
  <si>
    <t>friend</t>
    <phoneticPr fontId="3"/>
  </si>
  <si>
    <t>プロテイン</t>
    <phoneticPr fontId="3" type="Hiragana"/>
  </si>
  <si>
    <t>delicious</t>
    <phoneticPr fontId="3"/>
  </si>
  <si>
    <t>もどき料理</t>
    <rPh sb="3" eb="5">
      <t xml:space="preserve">りょうり </t>
    </rPh>
    <phoneticPr fontId="3" type="Hiragana"/>
  </si>
  <si>
    <t>加工食品</t>
    <rPh sb="0" eb="1">
      <t xml:space="preserve">かこう </t>
    </rPh>
    <phoneticPr fontId="3" type="Hiragana"/>
  </si>
  <si>
    <t>かこうしょくひん</t>
    <phoneticPr fontId="3"/>
  </si>
  <si>
    <t>processed food</t>
    <phoneticPr fontId="3"/>
  </si>
  <si>
    <t>大豆ミート</t>
    <rPh sb="0" eb="1">
      <t xml:space="preserve">だいず </t>
    </rPh>
    <phoneticPr fontId="3" type="Hiragana"/>
  </si>
  <si>
    <t>だいずみーと</t>
    <phoneticPr fontId="3"/>
  </si>
  <si>
    <t>soy meat</t>
    <phoneticPr fontId="3"/>
  </si>
  <si>
    <t>ソイミート</t>
    <phoneticPr fontId="3" type="Hiragana"/>
  </si>
  <si>
    <t>和食</t>
    <rPh sb="0" eb="1">
      <t xml:space="preserve">わしょく </t>
    </rPh>
    <phoneticPr fontId="3" type="Hiragana"/>
  </si>
  <si>
    <t xml:space="preserve">わしょく </t>
    <phoneticPr fontId="3"/>
  </si>
  <si>
    <t>Japanese food</t>
    <phoneticPr fontId="3"/>
  </si>
  <si>
    <t>健康</t>
    <rPh sb="0" eb="1">
      <t xml:space="preserve">けんこう </t>
    </rPh>
    <phoneticPr fontId="3" type="Hiragana"/>
  </si>
  <si>
    <t>けんこう</t>
    <phoneticPr fontId="3"/>
  </si>
  <si>
    <t>発酵食品</t>
    <rPh sb="0" eb="3">
      <t xml:space="preserve">はっこうしょくひん </t>
    </rPh>
    <phoneticPr fontId="3" type="Hiragana"/>
  </si>
  <si>
    <t>植物性</t>
    <rPh sb="0" eb="3">
      <t xml:space="preserve">しょくぶつせい </t>
    </rPh>
    <phoneticPr fontId="3" type="Hiragana"/>
  </si>
  <si>
    <t>plant-based</t>
    <phoneticPr fontId="3"/>
  </si>
  <si>
    <t>由来</t>
    <rPh sb="0" eb="2">
      <t xml:space="preserve">ゆらい </t>
    </rPh>
    <phoneticPr fontId="3" type="Hiragana"/>
  </si>
  <si>
    <t>たんぱく質</t>
    <phoneticPr fontId="3" type="Hiragana"/>
  </si>
  <si>
    <t>（〜を）含む</t>
    <rPh sb="4" eb="5">
      <t xml:space="preserve">ふくむ </t>
    </rPh>
    <phoneticPr fontId="3" type="Hiragana"/>
  </si>
  <si>
    <t>（〜を）ふくむ</t>
    <phoneticPr fontId="3"/>
  </si>
  <si>
    <t>to include</t>
    <phoneticPr fontId="3"/>
  </si>
  <si>
    <t>食品</t>
    <rPh sb="0" eb="2">
      <t xml:space="preserve">しょくひん </t>
    </rPh>
    <phoneticPr fontId="3" type="Hiragana"/>
  </si>
  <si>
    <t>豊富</t>
    <rPh sb="0" eb="1">
      <t xml:space="preserve">ほうふ </t>
    </rPh>
    <phoneticPr fontId="3" type="Hiragana"/>
  </si>
  <si>
    <t xml:space="preserve">ほうふ </t>
    <phoneticPr fontId="3"/>
  </si>
  <si>
    <t>取り入れる</t>
    <rPh sb="0" eb="1">
      <t xml:space="preserve">とりいれる </t>
    </rPh>
    <phoneticPr fontId="3" type="Hiragana"/>
  </si>
  <si>
    <t>とりいれる</t>
    <phoneticPr fontId="3"/>
  </si>
  <si>
    <t>仏教</t>
    <rPh sb="0" eb="2">
      <t xml:space="preserve">ぶっきょう </t>
    </rPh>
    <phoneticPr fontId="3" type="Hiragana"/>
  </si>
  <si>
    <t>僧侶</t>
    <rPh sb="0" eb="2">
      <t xml:space="preserve">そうりょ </t>
    </rPh>
    <phoneticPr fontId="3" type="Hiragana"/>
  </si>
  <si>
    <t>修行</t>
    <rPh sb="0" eb="2">
      <t xml:space="preserve">しゅぎょう </t>
    </rPh>
    <phoneticPr fontId="3" type="Hiragana"/>
  </si>
  <si>
    <t>（〜を）食す</t>
    <rPh sb="4" eb="5">
      <t xml:space="preserve">しょくす </t>
    </rPh>
    <phoneticPr fontId="3" type="Hiragana"/>
  </si>
  <si>
    <t>（〜を）しょくす</t>
    <phoneticPr fontId="3"/>
  </si>
  <si>
    <t xml:space="preserve">to eat </t>
    <phoneticPr fontId="3"/>
  </si>
  <si>
    <t>精進料理</t>
    <rPh sb="0" eb="2">
      <t xml:space="preserve">しょうじん </t>
    </rPh>
    <rPh sb="2" eb="4">
      <t xml:space="preserve">りょうり </t>
    </rPh>
    <phoneticPr fontId="3" type="Hiragana"/>
  </si>
  <si>
    <t>しょうじんりょうり</t>
    <phoneticPr fontId="3"/>
  </si>
  <si>
    <t>豆</t>
    <rPh sb="0" eb="1">
      <t xml:space="preserve">まめ </t>
    </rPh>
    <phoneticPr fontId="3" type="Hiragana"/>
  </si>
  <si>
    <t>穀類</t>
    <rPh sb="0" eb="2">
      <t xml:space="preserve">こくるい </t>
    </rPh>
    <phoneticPr fontId="3" type="Hiragana"/>
  </si>
  <si>
    <t>（〜を）工夫する</t>
    <rPh sb="4" eb="6">
      <t xml:space="preserve">くふうする </t>
    </rPh>
    <phoneticPr fontId="3" type="Hiragana"/>
  </si>
  <si>
    <t>（〜を）くふうする</t>
    <phoneticPr fontId="3"/>
  </si>
  <si>
    <t>調理する</t>
    <rPh sb="0" eb="1">
      <t xml:space="preserve">ちょうりする </t>
    </rPh>
    <phoneticPr fontId="3" type="Hiragana"/>
  </si>
  <si>
    <t>ちょうりする</t>
    <phoneticPr fontId="3"/>
  </si>
  <si>
    <t>高たんぱく質</t>
    <rPh sb="0" eb="1">
      <t xml:space="preserve">たかい </t>
    </rPh>
    <phoneticPr fontId="3" type="Hiragana"/>
  </si>
  <si>
    <t>こうたんぱくしつ</t>
    <phoneticPr fontId="3"/>
  </si>
  <si>
    <t>high in protein</t>
    <phoneticPr fontId="3"/>
  </si>
  <si>
    <t>低カロリー</t>
    <rPh sb="0" eb="1">
      <t xml:space="preserve">ひくい </t>
    </rPh>
    <phoneticPr fontId="3" type="Hiragana"/>
  </si>
  <si>
    <t>low calorie</t>
    <phoneticPr fontId="3"/>
  </si>
  <si>
    <t>見た目</t>
    <rPh sb="0" eb="1">
      <t xml:space="preserve">みため </t>
    </rPh>
    <phoneticPr fontId="3" type="Hiragana"/>
  </si>
  <si>
    <t>みため</t>
    <phoneticPr fontId="3"/>
  </si>
  <si>
    <t>apperance</t>
    <phoneticPr fontId="3"/>
  </si>
  <si>
    <t>しょっかん</t>
    <phoneticPr fontId="3"/>
  </si>
  <si>
    <t>（〜を）似せる</t>
    <phoneticPr fontId="3"/>
  </si>
  <si>
    <t>（〜を）にせる</t>
    <phoneticPr fontId="3"/>
  </si>
  <si>
    <t>to imitate</t>
    <phoneticPr fontId="3"/>
  </si>
  <si>
    <t>健康志向</t>
    <rPh sb="0" eb="2">
      <t xml:space="preserve">けんこう </t>
    </rPh>
    <rPh sb="2" eb="4">
      <t xml:space="preserve">しこう </t>
    </rPh>
    <phoneticPr fontId="3" type="Hiragana"/>
  </si>
  <si>
    <t>health-conscious</t>
    <phoneticPr fontId="3"/>
  </si>
  <si>
    <t>関心</t>
    <rPh sb="0" eb="1">
      <t xml:space="preserve">かんしん </t>
    </rPh>
    <phoneticPr fontId="3" type="Hiragana"/>
  </si>
  <si>
    <t>かんしん</t>
    <phoneticPr fontId="3"/>
  </si>
  <si>
    <t>（〜を）加工する</t>
    <rPh sb="4" eb="5">
      <t xml:space="preserve">カコウスル </t>
    </rPh>
    <phoneticPr fontId="3"/>
  </si>
  <si>
    <t>（〜を）かこうする</t>
    <phoneticPr fontId="3"/>
  </si>
  <si>
    <t>to process</t>
    <phoneticPr fontId="3"/>
  </si>
  <si>
    <t>見せかける</t>
    <phoneticPr fontId="3" type="Hiragana"/>
  </si>
  <si>
    <t>みせかける</t>
    <phoneticPr fontId="3"/>
  </si>
  <si>
    <t>to make it appear as if, to disguise</t>
    <phoneticPr fontId="3"/>
  </si>
  <si>
    <t>欠かせる</t>
    <phoneticPr fontId="3" type="Hiragana"/>
  </si>
  <si>
    <t>かかせる</t>
    <phoneticPr fontId="3"/>
  </si>
  <si>
    <t>代替食品</t>
    <rPh sb="0" eb="2">
      <t xml:space="preserve">だいたい </t>
    </rPh>
    <phoneticPr fontId="3" type="Hiragana"/>
  </si>
  <si>
    <t>だいたいしょくひん</t>
    <phoneticPr fontId="3"/>
  </si>
  <si>
    <t>substitute food</t>
    <phoneticPr fontId="3"/>
  </si>
  <si>
    <t>年代</t>
    <rPh sb="0" eb="2">
      <t xml:space="preserve">ねんだい </t>
    </rPh>
    <phoneticPr fontId="3" type="Hiragana"/>
  </si>
  <si>
    <t>開発する</t>
    <rPh sb="0" eb="2">
      <t xml:space="preserve">かいはつ </t>
    </rPh>
    <phoneticPr fontId="3" type="Hiragana"/>
  </si>
  <si>
    <t>かいはつする</t>
    <phoneticPr fontId="3"/>
  </si>
  <si>
    <t>ベジタリアン</t>
    <phoneticPr fontId="3" type="Hiragana"/>
  </si>
  <si>
    <t>ビーガン</t>
    <phoneticPr fontId="3" type="Hiragana"/>
  </si>
  <si>
    <t>対象</t>
    <rPh sb="0" eb="2">
      <t xml:space="preserve">たいしょう </t>
    </rPh>
    <phoneticPr fontId="3" type="Hiragana"/>
  </si>
  <si>
    <t>target</t>
    <phoneticPr fontId="3"/>
  </si>
  <si>
    <t>欧米</t>
    <rPh sb="0" eb="2">
      <t xml:space="preserve">おうべい </t>
    </rPh>
    <phoneticPr fontId="3" type="Hiragana"/>
  </si>
  <si>
    <t>市場</t>
    <rPh sb="0" eb="2">
      <t xml:space="preserve">しじょう </t>
    </rPh>
    <phoneticPr fontId="3" type="Hiragana"/>
  </si>
  <si>
    <t>（〜を）広める</t>
    <rPh sb="4" eb="5">
      <t xml:space="preserve">ひろめる </t>
    </rPh>
    <phoneticPr fontId="3" type="Hiragana"/>
  </si>
  <si>
    <t>（〜を）ひろめる</t>
    <phoneticPr fontId="3"/>
  </si>
  <si>
    <t>販売する</t>
    <rPh sb="0" eb="2">
      <t xml:space="preserve">はんばいする </t>
    </rPh>
    <phoneticPr fontId="3" type="Hiragana"/>
  </si>
  <si>
    <t>to sell</t>
  </si>
  <si>
    <t>今や</t>
    <rPh sb="0" eb="1">
      <t xml:space="preserve">いま </t>
    </rPh>
    <phoneticPr fontId="3" type="Hiragana"/>
  </si>
  <si>
    <t>いまや</t>
    <phoneticPr fontId="3"/>
  </si>
  <si>
    <t>パッケージ</t>
    <phoneticPr fontId="3" type="Hiragana"/>
  </si>
  <si>
    <t>ソーセージ</t>
    <phoneticPr fontId="3" type="Hiragana"/>
  </si>
  <si>
    <t>陳列する</t>
    <rPh sb="0" eb="2">
      <t xml:space="preserve">ちんれつ </t>
    </rPh>
    <phoneticPr fontId="3" type="Hiragana"/>
  </si>
  <si>
    <t>ちんれつする</t>
    <phoneticPr fontId="3"/>
  </si>
  <si>
    <t>ファストフード</t>
    <phoneticPr fontId="3" type="Hiragana"/>
  </si>
  <si>
    <t>チェーン店</t>
    <phoneticPr fontId="3" type="Hiragana"/>
  </si>
  <si>
    <t>chain store</t>
    <phoneticPr fontId="3"/>
  </si>
  <si>
    <t>健康的（な）</t>
    <rPh sb="0" eb="2">
      <t xml:space="preserve">けんこう </t>
    </rPh>
    <rPh sb="2" eb="3">
      <t xml:space="preserve">てき </t>
    </rPh>
    <phoneticPr fontId="3" type="Hiragana"/>
  </si>
  <si>
    <t>けんこうてき（な）</t>
    <phoneticPr fontId="3"/>
  </si>
  <si>
    <t>healthy</t>
    <phoneticPr fontId="3"/>
  </si>
  <si>
    <t>バーガー</t>
    <phoneticPr fontId="3" type="Hiragana"/>
  </si>
  <si>
    <t>チキンナゲット</t>
    <phoneticPr fontId="3" type="Hiragana"/>
  </si>
  <si>
    <t xml:space="preserve">chicken nuggets </t>
    <phoneticPr fontId="3"/>
  </si>
  <si>
    <t>（〜に）注目する</t>
    <rPh sb="4" eb="6">
      <t xml:space="preserve">ちゅうもく </t>
    </rPh>
    <phoneticPr fontId="3" type="Hiragana"/>
  </si>
  <si>
    <t>（〜に）ちゅうもくする</t>
    <phoneticPr fontId="3"/>
  </si>
  <si>
    <t>to pay attention to</t>
    <phoneticPr fontId="3"/>
  </si>
  <si>
    <t>（〜が）広まる</t>
    <phoneticPr fontId="3" type="Hiragana"/>
  </si>
  <si>
    <t>（〜が）ひろまる</t>
    <phoneticPr fontId="3"/>
  </si>
  <si>
    <t>家畜</t>
    <rPh sb="0" eb="2">
      <t xml:space="preserve">かちく </t>
    </rPh>
    <phoneticPr fontId="3" type="Hiragana"/>
  </si>
  <si>
    <t>最新</t>
    <rPh sb="0" eb="2">
      <t xml:space="preserve">さいしん </t>
    </rPh>
    <phoneticPr fontId="3" type="Hiragana"/>
  </si>
  <si>
    <t>テクノロジー</t>
    <phoneticPr fontId="3" type="Hiragana"/>
  </si>
  <si>
    <t>調理法</t>
    <rPh sb="0" eb="1">
      <t xml:space="preserve">ちょうりほう </t>
    </rPh>
    <phoneticPr fontId="3" type="Hiragana"/>
  </si>
  <si>
    <t>ちょうりほう</t>
    <phoneticPr fontId="3"/>
  </si>
  <si>
    <t>フードテック</t>
    <phoneticPr fontId="3" type="Hiragana"/>
  </si>
  <si>
    <t>一例</t>
    <rPh sb="0" eb="2">
      <t xml:space="preserve">いちれい </t>
    </rPh>
    <phoneticPr fontId="3" type="Hiragana"/>
  </si>
  <si>
    <t>an example</t>
    <phoneticPr fontId="3"/>
  </si>
  <si>
    <t>活用する</t>
    <rPh sb="0" eb="2">
      <t xml:space="preserve">かつよう </t>
    </rPh>
    <phoneticPr fontId="3" type="Hiragana"/>
  </si>
  <si>
    <t>かつようする</t>
    <phoneticPr fontId="3"/>
  </si>
  <si>
    <t xml:space="preserve">to make use of </t>
    <phoneticPr fontId="3"/>
  </si>
  <si>
    <t>完全食</t>
    <rPh sb="0" eb="1">
      <t xml:space="preserve">かんぜんしょく </t>
    </rPh>
    <phoneticPr fontId="3" type="Hiragana"/>
  </si>
  <si>
    <t>かんぜんしょく</t>
    <phoneticPr fontId="3"/>
  </si>
  <si>
    <t>nutritionally complete meal</t>
    <phoneticPr fontId="3"/>
  </si>
  <si>
    <t>栄養素</t>
    <rPh sb="0" eb="3">
      <t xml:space="preserve">えいようそ </t>
    </rPh>
    <phoneticPr fontId="3" type="Hiragana"/>
  </si>
  <si>
    <t>（〜を）備える</t>
    <rPh sb="4" eb="5">
      <t xml:space="preserve">そなえる </t>
    </rPh>
    <phoneticPr fontId="3" type="Hiragana"/>
  </si>
  <si>
    <t>（〜を）そなえる</t>
    <phoneticPr fontId="3"/>
  </si>
  <si>
    <t>グローバル</t>
    <phoneticPr fontId="3" type="Hiragana"/>
  </si>
  <si>
    <t>展開する</t>
    <rPh sb="0" eb="1">
      <t xml:space="preserve">てんかい </t>
    </rPh>
    <phoneticPr fontId="3" type="Hiragana"/>
  </si>
  <si>
    <t>関わる</t>
    <rPh sb="0" eb="1">
      <t xml:space="preserve">かかわる </t>
    </rPh>
    <phoneticPr fontId="3" type="Hiragana"/>
  </si>
  <si>
    <t>かかわる</t>
    <phoneticPr fontId="3"/>
  </si>
  <si>
    <t>to be involved in</t>
    <phoneticPr fontId="3"/>
  </si>
  <si>
    <t>課題解決</t>
    <rPh sb="0" eb="2">
      <t xml:space="preserve">かだい </t>
    </rPh>
    <phoneticPr fontId="3" type="Hiragana"/>
  </si>
  <si>
    <t>かだいかいけつ</t>
    <phoneticPr fontId="3"/>
  </si>
  <si>
    <t>problem solving</t>
    <phoneticPr fontId="3"/>
  </si>
  <si>
    <t>昆虫</t>
    <rPh sb="0" eb="2">
      <t xml:space="preserve">こんちゅう </t>
    </rPh>
    <phoneticPr fontId="3" type="Hiragana"/>
  </si>
  <si>
    <t>新食材</t>
    <rPh sb="0" eb="1">
      <t xml:space="preserve">しん </t>
    </rPh>
    <rPh sb="1" eb="3">
      <t xml:space="preserve">しょくざい </t>
    </rPh>
    <phoneticPr fontId="3" type="Hiragana"/>
  </si>
  <si>
    <t>（〜に）取り組む</t>
    <phoneticPr fontId="3" type="Hiragana"/>
  </si>
  <si>
    <t>（〜に）とりくむ</t>
    <phoneticPr fontId="3"/>
  </si>
  <si>
    <t>to work on</t>
    <phoneticPr fontId="3"/>
  </si>
  <si>
    <t>流通</t>
    <rPh sb="0" eb="2">
      <t xml:space="preserve">りゅうつう </t>
    </rPh>
    <phoneticPr fontId="3" type="Hiragana"/>
  </si>
  <si>
    <t>調理</t>
    <rPh sb="0" eb="2">
      <t xml:space="preserve">ちょうり </t>
    </rPh>
    <phoneticPr fontId="3" type="Hiragana"/>
  </si>
  <si>
    <t>プロセス</t>
    <phoneticPr fontId="3" type="Hiragana"/>
  </si>
  <si>
    <t>不足</t>
    <rPh sb="0" eb="1">
      <t xml:space="preserve">ふそく </t>
    </rPh>
    <phoneticPr fontId="3" type="Hiragana"/>
  </si>
  <si>
    <t>ふそく</t>
    <phoneticPr fontId="3"/>
  </si>
  <si>
    <t>食品ロス</t>
    <rPh sb="0" eb="2">
      <t xml:space="preserve">しょくひん </t>
    </rPh>
    <phoneticPr fontId="3" type="Hiragana"/>
  </si>
  <si>
    <t>food loss and waste</t>
  </si>
  <si>
    <t>解決策</t>
    <rPh sb="0" eb="3">
      <t xml:space="preserve">かいけつさく </t>
    </rPh>
    <phoneticPr fontId="3" type="Hiragana"/>
  </si>
  <si>
    <t>期待する</t>
    <rPh sb="0" eb="2">
      <t xml:space="preserve">きたいする </t>
    </rPh>
    <phoneticPr fontId="3" type="Hiragana"/>
  </si>
  <si>
    <t>to expect</t>
    <phoneticPr fontId="3"/>
  </si>
  <si>
    <t>人類</t>
    <rPh sb="0" eb="2">
      <t xml:space="preserve">じんるい </t>
    </rPh>
    <phoneticPr fontId="3" type="Hiragana"/>
  </si>
  <si>
    <t>左右する</t>
    <rPh sb="0" eb="2">
      <t xml:space="preserve">さゆうする </t>
    </rPh>
    <phoneticPr fontId="3" type="Hiragana"/>
  </si>
  <si>
    <t>さゆうする</t>
    <phoneticPr fontId="3"/>
  </si>
  <si>
    <t>to affect</t>
    <phoneticPr fontId="3"/>
  </si>
  <si>
    <t>予想する</t>
    <rPh sb="0" eb="2">
      <t xml:space="preserve">よそう </t>
    </rPh>
    <phoneticPr fontId="3" type="Hiragana"/>
  </si>
  <si>
    <t>よそうする</t>
    <phoneticPr fontId="3"/>
  </si>
  <si>
    <t>一方</t>
    <rPh sb="0" eb="2">
      <t xml:space="preserve">イッポウ </t>
    </rPh>
    <phoneticPr fontId="3"/>
  </si>
  <si>
    <t>on the other hand</t>
    <phoneticPr fontId="3"/>
  </si>
  <si>
    <t>維持</t>
    <rPh sb="0" eb="2">
      <t xml:space="preserve">いじ </t>
    </rPh>
    <phoneticPr fontId="3" type="Hiragana"/>
  </si>
  <si>
    <t>保存</t>
    <rPh sb="0" eb="2">
      <t xml:space="preserve">ほぞん </t>
    </rPh>
    <phoneticPr fontId="3" type="Hiragana"/>
  </si>
  <si>
    <t>preservation</t>
    <phoneticPr fontId="3"/>
  </si>
  <si>
    <t>添加物</t>
    <rPh sb="0" eb="3">
      <t xml:space="preserve">てんかぶつ </t>
    </rPh>
    <phoneticPr fontId="3" type="Hiragana"/>
  </si>
  <si>
    <t>含む</t>
    <rPh sb="0" eb="1">
      <t xml:space="preserve">ふくむ </t>
    </rPh>
    <phoneticPr fontId="3" type="Hiragana"/>
  </si>
  <si>
    <t>ふくむ</t>
    <phoneticPr fontId="3"/>
  </si>
  <si>
    <t>種類</t>
    <rPh sb="0" eb="2">
      <t xml:space="preserve">シュルイ </t>
    </rPh>
    <phoneticPr fontId="3"/>
  </si>
  <si>
    <t>しゅるい</t>
    <phoneticPr fontId="3"/>
  </si>
  <si>
    <t>kinds</t>
    <phoneticPr fontId="3"/>
  </si>
  <si>
    <t>塩分</t>
    <rPh sb="0" eb="2">
      <t xml:space="preserve">えんぶん </t>
    </rPh>
    <phoneticPr fontId="3" type="Hiragana"/>
  </si>
  <si>
    <t>salt content</t>
    <phoneticPr fontId="3"/>
  </si>
  <si>
    <t>高カロリー</t>
    <rPh sb="0" eb="1">
      <t xml:space="preserve">たかい </t>
    </rPh>
    <phoneticPr fontId="3" type="Hiragana"/>
  </si>
  <si>
    <t>遺伝子</t>
    <rPh sb="0" eb="3">
      <t xml:space="preserve">いでんし </t>
    </rPh>
    <phoneticPr fontId="3" type="Hiragana"/>
  </si>
  <si>
    <t>組換え</t>
    <rPh sb="0" eb="2">
      <t xml:space="preserve">くみかえ </t>
    </rPh>
    <phoneticPr fontId="3" type="Hiragana"/>
  </si>
  <si>
    <t>くみかえ</t>
    <phoneticPr fontId="3"/>
  </si>
  <si>
    <t>27</t>
    <phoneticPr fontId="3" type="Hiragana"/>
  </si>
  <si>
    <t>使用する</t>
    <rPh sb="0" eb="2">
      <t xml:space="preserve">しようする </t>
    </rPh>
    <phoneticPr fontId="3" type="Hiragana"/>
  </si>
  <si>
    <t>しようする</t>
    <phoneticPr fontId="3"/>
  </si>
  <si>
    <t>to use</t>
    <phoneticPr fontId="3"/>
  </si>
  <si>
    <t>イコール</t>
    <phoneticPr fontId="3" type="Hiragana"/>
  </si>
  <si>
    <t>28</t>
    <phoneticPr fontId="3" type="Hiragana"/>
  </si>
  <si>
    <t>消費者</t>
    <rPh sb="0" eb="3">
      <t xml:space="preserve">しょうひしゃ </t>
    </rPh>
    <phoneticPr fontId="3" type="Hiragana"/>
  </si>
  <si>
    <t>L9</t>
    <phoneticPr fontId="3" type="Hiragana"/>
  </si>
  <si>
    <t>労働</t>
    <rPh sb="0" eb="2">
      <t xml:space="preserve">ろうどう </t>
    </rPh>
    <phoneticPr fontId="3" type="Hiragana"/>
  </si>
  <si>
    <t>変化する</t>
    <rPh sb="0" eb="1">
      <t xml:space="preserve">へんか </t>
    </rPh>
    <phoneticPr fontId="3" type="Hiragana"/>
  </si>
  <si>
    <t>商品</t>
    <rPh sb="0" eb="2">
      <t xml:space="preserve">しょうひん </t>
    </rPh>
    <phoneticPr fontId="3" type="Hiragana"/>
  </si>
  <si>
    <t>コンビニエンスストア</t>
    <phoneticPr fontId="3" type="Hiragana"/>
  </si>
  <si>
    <t>略称</t>
    <rPh sb="0" eb="2">
      <t xml:space="preserve">りゃくしょう </t>
    </rPh>
    <phoneticPr fontId="3" type="Hiragana"/>
  </si>
  <si>
    <t xml:space="preserve">abbreviation </t>
    <phoneticPr fontId="3"/>
  </si>
  <si>
    <t>独身</t>
    <rPh sb="0" eb="2">
      <t xml:space="preserve">どくしん </t>
    </rPh>
    <phoneticPr fontId="3" type="Hiragana"/>
  </si>
  <si>
    <t>立ち読み</t>
    <rPh sb="0" eb="1">
      <t xml:space="preserve">たちよみ </t>
    </rPh>
    <phoneticPr fontId="3" type="Hiragana"/>
  </si>
  <si>
    <t>browsing</t>
  </si>
  <si>
    <t>おにぎり</t>
    <phoneticPr fontId="3" type="Hiragana"/>
  </si>
  <si>
    <t>スナック</t>
    <phoneticPr fontId="3" type="Hiragana"/>
  </si>
  <si>
    <t>ところ</t>
    <phoneticPr fontId="3" type="Hiragana"/>
  </si>
  <si>
    <t>イメージ</t>
    <phoneticPr fontId="3" type="Hiragana"/>
  </si>
  <si>
    <t>impression</t>
    <phoneticPr fontId="3"/>
  </si>
  <si>
    <t>高齢者</t>
    <rPh sb="0" eb="1">
      <t>かろりー</t>
    </rPh>
    <phoneticPr fontId="3" type="Hiragana"/>
  </si>
  <si>
    <t>主婦</t>
    <rPh sb="0" eb="2">
      <t xml:space="preserve">しゅふ </t>
    </rPh>
    <phoneticPr fontId="3" type="Hiragana"/>
  </si>
  <si>
    <t>幅広い層</t>
    <rPh sb="0" eb="2">
      <t xml:space="preserve">はばひろい そう </t>
    </rPh>
    <phoneticPr fontId="3" type="Hiragana"/>
  </si>
  <si>
    <t>手軽に</t>
    <rPh sb="0" eb="2">
      <t xml:space="preserve">てがる </t>
    </rPh>
    <phoneticPr fontId="3" type="Hiragana"/>
  </si>
  <si>
    <t>easy</t>
    <phoneticPr fontId="3"/>
  </si>
  <si>
    <t>温かい</t>
    <rPh sb="0" eb="1">
      <t xml:space="preserve">あたたかい </t>
    </rPh>
    <phoneticPr fontId="3" type="Hiragana"/>
  </si>
  <si>
    <t>コロッケ</t>
    <phoneticPr fontId="3" type="Hiragana"/>
  </si>
  <si>
    <t>食卓</t>
    <rPh sb="0" eb="2">
      <t xml:space="preserve">しょくたく </t>
    </rPh>
    <phoneticPr fontId="3" type="Hiragana"/>
  </si>
  <si>
    <t>（〜を）出す</t>
    <rPh sb="4" eb="5">
      <t xml:space="preserve">だす </t>
    </rPh>
    <phoneticPr fontId="3" type="Hiragana"/>
  </si>
  <si>
    <t>to serve food</t>
    <phoneticPr fontId="3"/>
  </si>
  <si>
    <t>惣菜</t>
    <rPh sb="0" eb="2">
      <t xml:space="preserve">そうざい </t>
    </rPh>
    <phoneticPr fontId="3" type="Hiragana"/>
  </si>
  <si>
    <t>ready-made side dish</t>
    <phoneticPr fontId="3"/>
  </si>
  <si>
    <t>充実する</t>
    <rPh sb="0" eb="2">
      <t xml:space="preserve">じゅうじつ </t>
    </rPh>
    <phoneticPr fontId="3" type="Hiragana"/>
  </si>
  <si>
    <t>to have a good selection of</t>
    <phoneticPr fontId="3"/>
  </si>
  <si>
    <t>各社</t>
    <rPh sb="0" eb="2">
      <t xml:space="preserve">かくしゃ </t>
    </rPh>
    <phoneticPr fontId="3" type="Hiragana"/>
  </si>
  <si>
    <t>独自</t>
    <rPh sb="0" eb="2">
      <t xml:space="preserve">どくじ </t>
    </rPh>
    <phoneticPr fontId="3" type="Hiragana"/>
  </si>
  <si>
    <t xml:space="preserve">one of a kind </t>
    <phoneticPr fontId="3"/>
  </si>
  <si>
    <t>開発</t>
    <phoneticPr fontId="3" type="Hiragana"/>
  </si>
  <si>
    <t xml:space="preserve">development </t>
    <phoneticPr fontId="3"/>
  </si>
  <si>
    <t>和菓子</t>
    <rPh sb="0" eb="3">
      <t xml:space="preserve">わかし </t>
    </rPh>
    <phoneticPr fontId="3" type="Hiragana"/>
  </si>
  <si>
    <t>プリン</t>
    <phoneticPr fontId="3" type="Hiragana"/>
  </si>
  <si>
    <t>custard pudding</t>
    <phoneticPr fontId="3"/>
  </si>
  <si>
    <t>おしゃれ（な）</t>
    <phoneticPr fontId="3" type="Hiragana"/>
  </si>
  <si>
    <t>商品</t>
    <rPh sb="0" eb="1">
      <t xml:space="preserve">しょうひん </t>
    </rPh>
    <phoneticPr fontId="3" type="Hiragana"/>
  </si>
  <si>
    <t>そろえる</t>
    <phoneticPr fontId="3" type="Hiragana"/>
  </si>
  <si>
    <t xml:space="preserve">to gather </t>
    <phoneticPr fontId="3"/>
  </si>
  <si>
    <t>成功する</t>
    <rPh sb="0" eb="2">
      <t xml:space="preserve">せいこうする </t>
    </rPh>
    <phoneticPr fontId="3" type="Hiragana"/>
  </si>
  <si>
    <t>to succeed</t>
    <phoneticPr fontId="3"/>
  </si>
  <si>
    <t>多様化する</t>
    <rPh sb="0" eb="3">
      <t xml:space="preserve">たようか </t>
    </rPh>
    <phoneticPr fontId="3" type="Hiragana"/>
  </si>
  <si>
    <t>たようかする</t>
  </si>
  <si>
    <t>to diversify</t>
    <phoneticPr fontId="3"/>
  </si>
  <si>
    <t>大半</t>
    <rPh sb="0" eb="2">
      <t xml:space="preserve">たいはん </t>
    </rPh>
    <phoneticPr fontId="3" type="Hiragana"/>
  </si>
  <si>
    <t>深刻（な）</t>
    <rPh sb="0" eb="2">
      <t xml:space="preserve">しんこく </t>
    </rPh>
    <phoneticPr fontId="3" type="Hiragana"/>
  </si>
  <si>
    <t>人手不足</t>
    <rPh sb="0" eb="4">
      <t>ひとでぶ</t>
    </rPh>
    <phoneticPr fontId="3" type="Hiragana"/>
  </si>
  <si>
    <t xml:space="preserve">labor shortage </t>
    <phoneticPr fontId="3"/>
  </si>
  <si>
    <t>スタッフ</t>
    <phoneticPr fontId="3"/>
  </si>
  <si>
    <t>staff</t>
    <phoneticPr fontId="3"/>
  </si>
  <si>
    <t>ネパール</t>
    <phoneticPr fontId="3" type="Hiragana"/>
  </si>
  <si>
    <t>hometown</t>
    <phoneticPr fontId="3"/>
  </si>
  <si>
    <t>（〜を）見かける</t>
    <phoneticPr fontId="3" type="Hiragana"/>
  </si>
  <si>
    <t>to catch sight of</t>
    <phoneticPr fontId="3"/>
  </si>
  <si>
    <t>お客</t>
    <phoneticPr fontId="3" type="Hiragana"/>
  </si>
  <si>
    <t>（〜に）苦労する</t>
    <rPh sb="4" eb="6">
      <t xml:space="preserve">くろうする </t>
    </rPh>
    <phoneticPr fontId="3" type="Hiragana"/>
  </si>
  <si>
    <t xml:space="preserve">to struggle with </t>
    <phoneticPr fontId="3"/>
  </si>
  <si>
    <t>中心的（な）</t>
    <rPh sb="0" eb="2">
      <t xml:space="preserve">ちゅうしん </t>
    </rPh>
    <rPh sb="2" eb="3">
      <t xml:space="preserve">てき </t>
    </rPh>
    <phoneticPr fontId="3" type="Hiragana"/>
  </si>
  <si>
    <t>main</t>
    <phoneticPr fontId="3"/>
  </si>
  <si>
    <t>存在</t>
    <rPh sb="0" eb="2">
      <t xml:space="preserve">そんざい </t>
    </rPh>
    <phoneticPr fontId="3" type="Hiragana"/>
  </si>
  <si>
    <t>先日</t>
    <rPh sb="0" eb="2">
      <t xml:space="preserve">せんじつ </t>
    </rPh>
    <phoneticPr fontId="3" type="Hiragana"/>
  </si>
  <si>
    <t>the other day</t>
    <phoneticPr fontId="3"/>
  </si>
  <si>
    <t>サービス</t>
    <phoneticPr fontId="3" type="Hiragana"/>
  </si>
  <si>
    <t>苦情</t>
    <rPh sb="0" eb="1">
      <t xml:space="preserve">くじょう </t>
    </rPh>
    <phoneticPr fontId="3" type="Hiragana"/>
  </si>
  <si>
    <t>落ち着く</t>
    <rPh sb="0" eb="1">
      <t xml:space="preserve">おちつく </t>
    </rPh>
    <phoneticPr fontId="3" type="Hiragana"/>
  </si>
  <si>
    <t>to calm down</t>
  </si>
  <si>
    <t>相手</t>
    <rPh sb="0" eb="2">
      <t xml:space="preserve">あいて </t>
    </rPh>
    <phoneticPr fontId="3" type="Hiragana"/>
  </si>
  <si>
    <t>対応</t>
    <rPh sb="0" eb="2">
      <t xml:space="preserve">たいおう </t>
    </rPh>
    <phoneticPr fontId="3" type="Hiragana"/>
  </si>
  <si>
    <t>(customer) service</t>
    <phoneticPr fontId="3"/>
  </si>
  <si>
    <t>感心する</t>
    <rPh sb="0" eb="2">
      <t xml:space="preserve">かんしんする </t>
    </rPh>
    <phoneticPr fontId="3" type="Hiragana"/>
  </si>
  <si>
    <t>to be impressed</t>
    <phoneticPr fontId="3"/>
  </si>
  <si>
    <t>あんた</t>
    <phoneticPr fontId="3" type="Hiragana"/>
  </si>
  <si>
    <t>you</t>
  </si>
  <si>
    <t>ニッコリする</t>
    <phoneticPr fontId="3" type="Hiragana"/>
  </si>
  <si>
    <t>to smile</t>
  </si>
  <si>
    <t>鍛える</t>
    <rPh sb="0" eb="1">
      <t xml:space="preserve">きたえる </t>
    </rPh>
    <phoneticPr fontId="3" type="Hiragana"/>
  </si>
  <si>
    <t xml:space="preserve">to train </t>
    <phoneticPr fontId="3"/>
  </si>
  <si>
    <t>違い</t>
    <rPh sb="0" eb="1">
      <t xml:space="preserve">ちがい </t>
    </rPh>
    <phoneticPr fontId="3" type="Hiragana"/>
  </si>
  <si>
    <t>difference</t>
    <phoneticPr fontId="3"/>
  </si>
  <si>
    <t>対応</t>
    <rPh sb="0" eb="1">
      <t xml:space="preserve">タイオウ </t>
    </rPh>
    <phoneticPr fontId="3"/>
  </si>
  <si>
    <t>（〜を）信頼する</t>
    <rPh sb="4" eb="6">
      <t xml:space="preserve">しんらい </t>
    </rPh>
    <phoneticPr fontId="3" type="Hiragana"/>
  </si>
  <si>
    <t>to trust</t>
    <phoneticPr fontId="3"/>
  </si>
  <si>
    <t>自信</t>
    <rPh sb="0" eb="1">
      <t xml:space="preserve">じしん </t>
    </rPh>
    <phoneticPr fontId="3" type="Hiragana"/>
  </si>
  <si>
    <t>confidence</t>
    <phoneticPr fontId="3"/>
  </si>
  <si>
    <t>輝き</t>
  </si>
  <si>
    <t>かがやき</t>
  </si>
  <si>
    <t>brilliance</t>
    <phoneticPr fontId="3"/>
  </si>
  <si>
    <t>おもてなし</t>
    <phoneticPr fontId="3" type="Hiragana"/>
  </si>
  <si>
    <t>お客様</t>
    <rPh sb="0" eb="1">
      <t>しゃれ</t>
    </rPh>
    <rPh sb="2" eb="3">
      <t xml:space="preserve">さま </t>
    </rPh>
    <phoneticPr fontId="3" type="Hiragana"/>
  </si>
  <si>
    <t>神様</t>
    <rPh sb="0" eb="2">
      <t xml:space="preserve">かみさま </t>
    </rPh>
    <phoneticPr fontId="3" type="Hiragana"/>
  </si>
  <si>
    <t>もてなす</t>
    <phoneticPr fontId="3" type="Hiragana"/>
  </si>
  <si>
    <t>to host</t>
    <phoneticPr fontId="3"/>
  </si>
  <si>
    <t>相手</t>
    <rPh sb="0" eb="1">
      <t xml:space="preserve">あいて </t>
    </rPh>
    <phoneticPr fontId="3" type="Hiragana"/>
  </si>
  <si>
    <t>the other person</t>
    <phoneticPr fontId="3"/>
  </si>
  <si>
    <t>歓待する</t>
    <rPh sb="0" eb="2">
      <t xml:space="preserve">かんたい </t>
    </rPh>
    <phoneticPr fontId="3" type="Hiragana"/>
  </si>
  <si>
    <t>to welcome</t>
    <phoneticPr fontId="3"/>
  </si>
  <si>
    <t>扱う</t>
    <rPh sb="0" eb="1">
      <t xml:space="preserve">あつかう </t>
    </rPh>
    <phoneticPr fontId="3" type="Hiragana"/>
  </si>
  <si>
    <t>to take care of</t>
    <phoneticPr fontId="3"/>
  </si>
  <si>
    <t>精神</t>
    <rPh sb="0" eb="1">
      <t xml:space="preserve">せいしん </t>
    </rPh>
    <phoneticPr fontId="3" type="Hiragana"/>
  </si>
  <si>
    <t>philosophy, spirit</t>
    <phoneticPr fontId="3"/>
  </si>
  <si>
    <t>高級旅館</t>
    <rPh sb="0" eb="1">
      <t xml:space="preserve">こうきゅうりょかん </t>
    </rPh>
    <phoneticPr fontId="3" type="Hiragana"/>
  </si>
  <si>
    <t>接客業</t>
    <rPh sb="0" eb="2">
      <t>せっ</t>
    </rPh>
    <rPh sb="2" eb="3">
      <t xml:space="preserve">ぎょう </t>
    </rPh>
    <phoneticPr fontId="3" type="Hiragana"/>
  </si>
  <si>
    <t>hospitality industry</t>
    <phoneticPr fontId="3"/>
  </si>
  <si>
    <t>諸説</t>
    <rPh sb="0" eb="2">
      <t xml:space="preserve">しょせつ </t>
    </rPh>
    <phoneticPr fontId="3" type="Hiragana"/>
  </si>
  <si>
    <t>二度と〜ない</t>
    <rPh sb="0" eb="2">
      <t xml:space="preserve">にどと </t>
    </rPh>
    <phoneticPr fontId="3" type="Hiragana"/>
  </si>
  <si>
    <t xml:space="preserve">never </t>
    <phoneticPr fontId="3"/>
  </si>
  <si>
    <t>茶席</t>
    <rPh sb="0" eb="2">
      <t xml:space="preserve">ちゃせき </t>
    </rPh>
    <phoneticPr fontId="3" type="Hiragana"/>
  </si>
  <si>
    <t>（〜を）招く</t>
    <rPh sb="4" eb="5">
      <t xml:space="preserve">まねく </t>
    </rPh>
    <phoneticPr fontId="3" type="Hiragana"/>
  </si>
  <si>
    <t>to invite</t>
    <phoneticPr fontId="3"/>
  </si>
  <si>
    <t>精神論</t>
    <rPh sb="0" eb="1">
      <t xml:space="preserve">せいしんろむん </t>
    </rPh>
    <rPh sb="2" eb="3">
      <t xml:space="preserve">ろん </t>
    </rPh>
    <phoneticPr fontId="3" type="Hiragana"/>
  </si>
  <si>
    <t>spirituality</t>
  </si>
  <si>
    <t>満足がいく</t>
    <rPh sb="0" eb="2">
      <t xml:space="preserve">まんぞく </t>
    </rPh>
    <phoneticPr fontId="3" type="Hiragana"/>
  </si>
  <si>
    <t>to find satisfactory</t>
    <phoneticPr fontId="3"/>
  </si>
  <si>
    <t>to provide</t>
  </si>
  <si>
    <t>社員</t>
    <rPh sb="0" eb="2">
      <t xml:space="preserve">しゃいん </t>
    </rPh>
    <phoneticPr fontId="3" type="Hiragana"/>
  </si>
  <si>
    <t>心得</t>
    <rPh sb="0" eb="2">
      <t xml:space="preserve">こころえ </t>
    </rPh>
    <phoneticPr fontId="3" type="Hiragana"/>
  </si>
  <si>
    <t>knowledge, understanding</t>
  </si>
  <si>
    <t>モットー</t>
    <phoneticPr fontId="3" type="Hiragana"/>
  </si>
  <si>
    <t>前提</t>
    <rPh sb="0" eb="2">
      <t xml:space="preserve">ぜんてい </t>
    </rPh>
    <phoneticPr fontId="3" type="Hiragana"/>
  </si>
  <si>
    <t>premise</t>
    <phoneticPr fontId="3"/>
  </si>
  <si>
    <t>に対する</t>
    <phoneticPr fontId="3"/>
  </si>
  <si>
    <t>満足度</t>
    <rPh sb="0" eb="3">
      <t xml:space="preserve">まんぞくど </t>
    </rPh>
    <phoneticPr fontId="3" type="Hiragana"/>
  </si>
  <si>
    <t>高まる</t>
    <rPh sb="0" eb="1">
      <t xml:space="preserve">たかまる </t>
    </rPh>
    <phoneticPr fontId="3" type="Hiragana"/>
  </si>
  <si>
    <t>当たり前</t>
    <phoneticPr fontId="3" type="Hiragana"/>
  </si>
  <si>
    <t xml:space="preserve">to take ~ for granted </t>
    <phoneticPr fontId="3"/>
  </si>
  <si>
    <t xml:space="preserve">to take care of </t>
    <phoneticPr fontId="3"/>
  </si>
  <si>
    <t>不満</t>
    <rPh sb="0" eb="2">
      <t xml:space="preserve">ふまん </t>
    </rPh>
    <phoneticPr fontId="3" type="Hiragana"/>
  </si>
  <si>
    <t>従業員</t>
    <rPh sb="0" eb="3">
      <t xml:space="preserve">じゅうぎょういん </t>
    </rPh>
    <phoneticPr fontId="3" type="Hiragana"/>
  </si>
  <si>
    <t>employee</t>
    <phoneticPr fontId="3"/>
  </si>
  <si>
    <t>クレーム</t>
    <phoneticPr fontId="3" type="Hiragana"/>
  </si>
  <si>
    <t>complaint</t>
    <phoneticPr fontId="3"/>
  </si>
  <si>
    <t>過剰（な）</t>
    <rPh sb="0" eb="2">
      <t xml:space="preserve">かじょう </t>
    </rPh>
    <phoneticPr fontId="3" type="Hiragana"/>
  </si>
  <si>
    <t>要求</t>
    <rPh sb="0" eb="2">
      <t xml:space="preserve">ようきゅう </t>
    </rPh>
    <phoneticPr fontId="3" type="Hiragana"/>
  </si>
  <si>
    <t>demand</t>
    <phoneticPr fontId="3"/>
  </si>
  <si>
    <t>つながる</t>
    <phoneticPr fontId="3" type="Hiragana"/>
  </si>
  <si>
    <t xml:space="preserve">to lead to </t>
    <phoneticPr fontId="3"/>
  </si>
  <si>
    <t>海外</t>
    <rPh sb="0" eb="2">
      <t xml:space="preserve">かいがい </t>
    </rPh>
    <phoneticPr fontId="3" type="Hiragana"/>
  </si>
  <si>
    <t>to receive</t>
    <phoneticPr fontId="3"/>
  </si>
  <si>
    <t>珍しい</t>
    <rPh sb="0" eb="1">
      <t xml:space="preserve">めずらしい </t>
    </rPh>
    <phoneticPr fontId="3" type="Hiragana"/>
  </si>
  <si>
    <t>rare, uncommon</t>
    <phoneticPr fontId="3"/>
  </si>
  <si>
    <t>岐路に立つ</t>
    <rPh sb="0" eb="2">
      <t>k</t>
    </rPh>
    <rPh sb="3" eb="4">
      <t xml:space="preserve">たつ </t>
    </rPh>
    <phoneticPr fontId="3" type="Hiragana"/>
  </si>
  <si>
    <t>to stand at the crossroads</t>
    <phoneticPr fontId="3"/>
  </si>
  <si>
    <t>environment</t>
    <phoneticPr fontId="3"/>
  </si>
  <si>
    <t>悪化する</t>
    <rPh sb="0" eb="2">
      <t xml:space="preserve">あっかする </t>
    </rPh>
    <phoneticPr fontId="3" type="Hiragana"/>
  </si>
  <si>
    <t>to deteriorate</t>
    <phoneticPr fontId="3"/>
  </si>
  <si>
    <t>企業</t>
    <rPh sb="0" eb="2">
      <t xml:space="preserve">きぎょう </t>
    </rPh>
    <phoneticPr fontId="3" type="Hiragana"/>
  </si>
  <si>
    <t>優秀な</t>
    <rPh sb="0" eb="2">
      <t xml:space="preserve">ゆうしゅう </t>
    </rPh>
    <phoneticPr fontId="3" type="Hiragana"/>
  </si>
  <si>
    <t>スタッフ</t>
    <phoneticPr fontId="3" type="Hiragana"/>
  </si>
  <si>
    <t>維持する</t>
    <rPh sb="0" eb="1">
      <t xml:space="preserve">いじ </t>
    </rPh>
    <phoneticPr fontId="3" type="Hiragana"/>
  </si>
  <si>
    <t>to maintain</t>
    <phoneticPr fontId="3"/>
  </si>
  <si>
    <t>ところ</t>
    <phoneticPr fontId="3"/>
  </si>
  <si>
    <t xml:space="preserve">point </t>
    <phoneticPr fontId="3"/>
  </si>
  <si>
    <t>労働環境</t>
    <rPh sb="0" eb="2">
      <t xml:space="preserve">ろうどう </t>
    </rPh>
    <rPh sb="2" eb="4">
      <t xml:space="preserve">かんきょう </t>
    </rPh>
    <phoneticPr fontId="3" type="Hiragana"/>
  </si>
  <si>
    <t>working environment</t>
    <phoneticPr fontId="3"/>
  </si>
  <si>
    <t>常に</t>
    <rPh sb="0" eb="1">
      <t xml:space="preserve">つねに </t>
    </rPh>
    <phoneticPr fontId="3" type="Hiragana"/>
  </si>
  <si>
    <t>質</t>
    <rPh sb="0" eb="1">
      <t xml:space="preserve">しつ </t>
    </rPh>
    <phoneticPr fontId="3" type="Hiragana"/>
  </si>
  <si>
    <t>quality</t>
    <phoneticPr fontId="3"/>
  </si>
  <si>
    <t>要求する</t>
    <rPh sb="0" eb="2">
      <t xml:space="preserve">ようきゅうする </t>
    </rPh>
    <phoneticPr fontId="3" type="Hiragana"/>
  </si>
  <si>
    <t>to demand</t>
  </si>
  <si>
    <t>過重労働</t>
    <rPh sb="0" eb="2">
      <t xml:space="preserve">かじゅう </t>
    </rPh>
    <rPh sb="2" eb="4">
      <t xml:space="preserve">ろうどう </t>
    </rPh>
    <phoneticPr fontId="3" type="Hiragana"/>
  </si>
  <si>
    <t>overwork</t>
  </si>
  <si>
    <t>一因</t>
    <rPh sb="0" eb="2">
      <t xml:space="preserve">いちいん </t>
    </rPh>
    <phoneticPr fontId="3" type="Hiragana"/>
  </si>
  <si>
    <t>ブラック労働</t>
    <phoneticPr fontId="3" type="Hiragana"/>
  </si>
  <si>
    <t>forced overwork</t>
  </si>
  <si>
    <t>長時間</t>
    <rPh sb="0" eb="3">
      <t xml:space="preserve">ちょうじかん </t>
    </rPh>
    <phoneticPr fontId="3" type="Hiragana"/>
  </si>
  <si>
    <t>long hours</t>
    <phoneticPr fontId="3"/>
  </si>
  <si>
    <t>精神を病む</t>
    <rPh sb="0" eb="1">
      <t xml:space="preserve">せいしん </t>
    </rPh>
    <rPh sb="3" eb="4">
      <t>やむ2</t>
    </rPh>
    <phoneticPr fontId="3" type="Hiragana"/>
  </si>
  <si>
    <t>to suffer mental illness</t>
  </si>
  <si>
    <t>辞める</t>
    <rPh sb="0" eb="1">
      <t xml:space="preserve">やめる </t>
    </rPh>
    <phoneticPr fontId="3" type="Hiragana"/>
  </si>
  <si>
    <t>過酷（な）</t>
    <rPh sb="0" eb="2">
      <t xml:space="preserve">かこく </t>
    </rPh>
    <phoneticPr fontId="3" type="Hiragana"/>
  </si>
  <si>
    <t>指す</t>
    <rPh sb="0" eb="1">
      <t xml:space="preserve">さす </t>
    </rPh>
    <phoneticPr fontId="3" type="Hiragana"/>
  </si>
  <si>
    <t>to refer to</t>
    <phoneticPr fontId="3"/>
  </si>
  <si>
    <t>最高</t>
    <rPh sb="0" eb="2">
      <t xml:space="preserve">さいこう </t>
    </rPh>
    <phoneticPr fontId="3" type="Hiragana"/>
  </si>
  <si>
    <t>売り物にする</t>
    <rPh sb="0" eb="1">
      <t xml:space="preserve">うりもの </t>
    </rPh>
    <phoneticPr fontId="3" type="Hiragana"/>
  </si>
  <si>
    <t>to market</t>
    <phoneticPr fontId="3"/>
  </si>
  <si>
    <t>family restaunrat</t>
    <phoneticPr fontId="3"/>
  </si>
  <si>
    <t>合理化</t>
    <rPh sb="0" eb="3">
      <t xml:space="preserve">ごうりか </t>
    </rPh>
    <phoneticPr fontId="3" type="Hiragana"/>
  </si>
  <si>
    <t>to rationalize</t>
    <phoneticPr fontId="3"/>
  </si>
  <si>
    <t>推進する</t>
    <rPh sb="0" eb="2">
      <t xml:space="preserve">すいしん </t>
    </rPh>
    <phoneticPr fontId="3" type="Hiragana"/>
  </si>
  <si>
    <t>to promote</t>
    <phoneticPr fontId="3"/>
  </si>
  <si>
    <t>あらゆる</t>
    <phoneticPr fontId="3" type="Hiragana"/>
  </si>
  <si>
    <t>any</t>
    <phoneticPr fontId="3"/>
  </si>
  <si>
    <t>存在</t>
    <rPh sb="0" eb="1">
      <t xml:space="preserve">そんざい </t>
    </rPh>
    <phoneticPr fontId="3" type="Hiragana"/>
  </si>
  <si>
    <t>負</t>
    <rPh sb="0" eb="1">
      <t>2</t>
    </rPh>
    <phoneticPr fontId="3" type="Hiragana"/>
  </si>
  <si>
    <t>側面</t>
    <rPh sb="0" eb="2">
      <t xml:space="preserve">そくめん </t>
    </rPh>
    <phoneticPr fontId="3" type="Hiragana"/>
  </si>
  <si>
    <t>aspect</t>
    <phoneticPr fontId="3"/>
  </si>
  <si>
    <t>垣間見る</t>
    <rPh sb="0" eb="3">
      <t xml:space="preserve">かいまみる </t>
    </rPh>
    <phoneticPr fontId="3" type="Hiragana"/>
  </si>
  <si>
    <t>to glimpse</t>
    <phoneticPr fontId="3"/>
  </si>
  <si>
    <t>働く</t>
    <rPh sb="0" eb="1">
      <t xml:space="preserve">はたらく </t>
    </rPh>
    <phoneticPr fontId="3" type="Hiragana"/>
  </si>
  <si>
    <t>すばらしさ</t>
    <phoneticPr fontId="3" type="Hiragana"/>
  </si>
  <si>
    <t>splendor</t>
    <phoneticPr fontId="3"/>
  </si>
  <si>
    <t xml:space="preserve">ろうどう </t>
  </si>
  <si>
    <t xml:space="preserve">しょうひん </t>
  </si>
  <si>
    <t>こんびにえんすすとあ</t>
  </si>
  <si>
    <t xml:space="preserve">りゃくしょう </t>
  </si>
  <si>
    <t xml:space="preserve">どくしん </t>
  </si>
  <si>
    <t>たちよみ</t>
  </si>
  <si>
    <t>おにぎり</t>
  </si>
  <si>
    <t>すなっく</t>
  </si>
  <si>
    <t>ところ</t>
  </si>
  <si>
    <t xml:space="preserve">しゅふ </t>
  </si>
  <si>
    <t>はばひろいそう</t>
  </si>
  <si>
    <t>てがる に</t>
  </si>
  <si>
    <t>ころっけ</t>
  </si>
  <si>
    <t xml:space="preserve">しょくたく </t>
  </si>
  <si>
    <t xml:space="preserve">そうざい </t>
  </si>
  <si>
    <t>じゅうじつする</t>
  </si>
  <si>
    <t xml:space="preserve">かくしゃ </t>
  </si>
  <si>
    <t xml:space="preserve">どくじ </t>
  </si>
  <si>
    <t>かいはつ</t>
  </si>
  <si>
    <t>わがし</t>
  </si>
  <si>
    <t>ぷりん</t>
  </si>
  <si>
    <t>おしゃれ（な）</t>
  </si>
  <si>
    <t>そろえる</t>
  </si>
  <si>
    <t>せいこうする</t>
  </si>
  <si>
    <t xml:space="preserve">たいはん </t>
  </si>
  <si>
    <t>しんこく （な）</t>
  </si>
  <si>
    <t>ひとでぶそく</t>
  </si>
  <si>
    <t>すたっふ</t>
  </si>
  <si>
    <t>（〜を）みかける</t>
  </si>
  <si>
    <t>おきゃく</t>
  </si>
  <si>
    <t>（〜に）くろうする</t>
  </si>
  <si>
    <t>ちゅうしんてき（な）</t>
  </si>
  <si>
    <t xml:space="preserve">そんざい </t>
  </si>
  <si>
    <t xml:space="preserve">せんじつ </t>
  </si>
  <si>
    <t>さーびす</t>
  </si>
  <si>
    <t>くじょう</t>
  </si>
  <si>
    <t>おちつく</t>
  </si>
  <si>
    <t xml:space="preserve">あいて </t>
  </si>
  <si>
    <t xml:space="preserve">たいおう </t>
  </si>
  <si>
    <t>かんしんする</t>
  </si>
  <si>
    <t>あんた</t>
  </si>
  <si>
    <t>にっこりする</t>
  </si>
  <si>
    <t>きたえる</t>
  </si>
  <si>
    <t>ちがい</t>
  </si>
  <si>
    <t>（〜を）しんらいする</t>
  </si>
  <si>
    <t>じしん</t>
  </si>
  <si>
    <t>おもてなし</t>
  </si>
  <si>
    <t>おきゃくさま</t>
  </si>
  <si>
    <t xml:space="preserve">かみさま </t>
  </si>
  <si>
    <t>もてなす</t>
  </si>
  <si>
    <t>かんたいする</t>
  </si>
  <si>
    <t>あつかう</t>
  </si>
  <si>
    <t>せいしん</t>
  </si>
  <si>
    <t>こうきゅうりょかん</t>
  </si>
  <si>
    <t>せっきゃくぎょう</t>
  </si>
  <si>
    <t xml:space="preserve">ゆらい </t>
  </si>
  <si>
    <t xml:space="preserve">しょせつ </t>
  </si>
  <si>
    <t>にどと〜ない</t>
  </si>
  <si>
    <t xml:space="preserve">ちゃせき </t>
  </si>
  <si>
    <t>せいしんろん</t>
  </si>
  <si>
    <t xml:space="preserve">しゃいん </t>
  </si>
  <si>
    <t xml:space="preserve">こころえ </t>
  </si>
  <si>
    <t xml:space="preserve">ぜんてい </t>
  </si>
  <si>
    <t>にたいする</t>
  </si>
  <si>
    <t>まんぞくど</t>
  </si>
  <si>
    <t>たかまる</t>
  </si>
  <si>
    <t xml:space="preserve">ふまん </t>
  </si>
  <si>
    <t xml:space="preserve">じゅうぎょういん </t>
  </si>
  <si>
    <t>かじょう （な）</t>
  </si>
  <si>
    <t xml:space="preserve">ようきゅう </t>
  </si>
  <si>
    <t>つながる</t>
  </si>
  <si>
    <t>めずらしい</t>
  </si>
  <si>
    <t>きろにたつ</t>
  </si>
  <si>
    <t>かんきょう</t>
  </si>
  <si>
    <t>あっかする</t>
  </si>
  <si>
    <t xml:space="preserve">きぎょう </t>
  </si>
  <si>
    <t>いじする</t>
  </si>
  <si>
    <t>ろうどうかんきょう</t>
  </si>
  <si>
    <t>つねに</t>
  </si>
  <si>
    <t xml:space="preserve">しつ </t>
  </si>
  <si>
    <t>ようきゅうする</t>
  </si>
  <si>
    <t>ろうどうしゃ</t>
  </si>
  <si>
    <t>かじゅうろうどう</t>
  </si>
  <si>
    <t xml:space="preserve">いちいん </t>
  </si>
  <si>
    <t>ぶらっくろうどう</t>
  </si>
  <si>
    <t xml:space="preserve">ちょうじかん </t>
  </si>
  <si>
    <t>せいしんをやむ</t>
  </si>
  <si>
    <t>やめる</t>
  </si>
  <si>
    <t>かこく （な）</t>
  </si>
  <si>
    <t>さす</t>
  </si>
  <si>
    <t xml:space="preserve">さいこう </t>
  </si>
  <si>
    <t>うりものにする</t>
  </si>
  <si>
    <t xml:space="preserve">ごうりか </t>
  </si>
  <si>
    <t>すいしんする</t>
  </si>
  <si>
    <t>あらゆる</t>
  </si>
  <si>
    <t>ふ</t>
  </si>
  <si>
    <t>かいまみる</t>
  </si>
  <si>
    <t>はたらく</t>
  </si>
  <si>
    <t>すばらしさ</t>
  </si>
  <si>
    <t xml:space="preserve">to customize </t>
    <phoneticPr fontId="3"/>
  </si>
  <si>
    <t>あつらえる</t>
    <phoneticPr fontId="3" type="Hiragana"/>
  </si>
  <si>
    <t>＊2</t>
    <phoneticPr fontId="3" type="Hiragana"/>
  </si>
  <si>
    <t>Muhammad Yunus</t>
    <phoneticPr fontId="3"/>
  </si>
  <si>
    <t>ムハマド・ユヌス</t>
    <phoneticPr fontId="3" type="Hiragana"/>
  </si>
  <si>
    <t xml:space="preserve">economist </t>
    <phoneticPr fontId="3"/>
  </si>
  <si>
    <t>経済学者</t>
    <rPh sb="0" eb="4">
      <t xml:space="preserve">けいざいがくしゃ </t>
    </rPh>
    <phoneticPr fontId="3" type="Hiragana"/>
  </si>
  <si>
    <t xml:space="preserve">more and more </t>
    <phoneticPr fontId="3"/>
  </si>
  <si>
    <t>ますます</t>
    <phoneticPr fontId="3" type="Hiragana"/>
  </si>
  <si>
    <t>from now on</t>
    <phoneticPr fontId="3"/>
  </si>
  <si>
    <t>今後</t>
    <rPh sb="0" eb="1">
      <t>や</t>
    </rPh>
    <phoneticPr fontId="3" type="Hiragana"/>
  </si>
  <si>
    <t>several years</t>
    <phoneticPr fontId="3"/>
  </si>
  <si>
    <t>数年</t>
    <rPh sb="0" eb="2">
      <t xml:space="preserve">すうねん </t>
    </rPh>
    <phoneticPr fontId="3" type="Hiragana"/>
  </si>
  <si>
    <t>活動</t>
    <rPh sb="0" eb="1">
      <t xml:space="preserve">かつどう </t>
    </rPh>
    <phoneticPr fontId="3" type="Hiragana"/>
  </si>
  <si>
    <t>プロジェクト型</t>
    <rPh sb="6" eb="7">
      <t xml:space="preserve">かた </t>
    </rPh>
    <phoneticPr fontId="3" type="Hiragana"/>
  </si>
  <si>
    <t>結びつける</t>
    <rPh sb="0" eb="1">
      <t xml:space="preserve">むすびつけくる </t>
    </rPh>
    <phoneticPr fontId="3" type="Hiragana"/>
  </si>
  <si>
    <t>教育現場</t>
    <rPh sb="0" eb="4">
      <t xml:space="preserve">きょういくげんば </t>
    </rPh>
    <phoneticPr fontId="3" type="Hiragana"/>
  </si>
  <si>
    <t>育成</t>
    <rPh sb="0" eb="2">
      <t xml:space="preserve">いくせい </t>
    </rPh>
    <phoneticPr fontId="3" type="Hiragana"/>
  </si>
  <si>
    <t>人材</t>
    <rPh sb="0" eb="1">
      <t>々</t>
    </rPh>
    <phoneticPr fontId="3" type="Hiragana"/>
  </si>
  <si>
    <t>additionally</t>
    <phoneticPr fontId="3"/>
  </si>
  <si>
    <t>さらに</t>
    <phoneticPr fontId="3"/>
  </si>
  <si>
    <t>カフェ</t>
    <phoneticPr fontId="3" type="Hiragana"/>
  </si>
  <si>
    <t>混合営利型</t>
    <rPh sb="0" eb="2">
      <t xml:space="preserve">こんごう </t>
    </rPh>
    <rPh sb="2" eb="4">
      <t xml:space="preserve">えいり </t>
    </rPh>
    <rPh sb="4" eb="5">
      <t xml:space="preserve">かた </t>
    </rPh>
    <phoneticPr fontId="3" type="Hiragana"/>
  </si>
  <si>
    <t>働ける</t>
    <rPh sb="0" eb="1">
      <t xml:space="preserve">はたらける </t>
    </rPh>
    <phoneticPr fontId="3" type="Hiragana"/>
  </si>
  <si>
    <t>深める</t>
    <rPh sb="0" eb="1">
      <t xml:space="preserve">ふかめる </t>
    </rPh>
    <phoneticPr fontId="3" type="Hiragana"/>
  </si>
  <si>
    <t>絆</t>
    <rPh sb="0" eb="1">
      <t xml:space="preserve">きずな </t>
    </rPh>
    <phoneticPr fontId="3" type="Hiragana"/>
  </si>
  <si>
    <t>活用する</t>
    <phoneticPr fontId="3" type="Hiragana"/>
  </si>
  <si>
    <t>aid</t>
    <phoneticPr fontId="3"/>
  </si>
  <si>
    <t>補助</t>
    <rPh sb="0" eb="2">
      <t xml:space="preserve">ほじょ </t>
    </rPh>
    <phoneticPr fontId="3" type="Hiragana"/>
  </si>
  <si>
    <t>囲む</t>
    <rPh sb="0" eb="1">
      <t xml:space="preserve">かこめる </t>
    </rPh>
    <phoneticPr fontId="3" type="Hiragana"/>
  </si>
  <si>
    <t xml:space="preserve">dietary habits </t>
    <phoneticPr fontId="3"/>
  </si>
  <si>
    <t>食習慣</t>
    <rPh sb="0" eb="3">
      <t xml:space="preserve">しょくしゅうかん </t>
    </rPh>
    <phoneticPr fontId="3" type="Hiragana"/>
  </si>
  <si>
    <t>異なる</t>
    <rPh sb="0" eb="1">
      <t xml:space="preserve">ことなる </t>
    </rPh>
    <phoneticPr fontId="3" type="Hiragana"/>
  </si>
  <si>
    <t>包括する</t>
    <rPh sb="0" eb="2">
      <t xml:space="preserve">ほうかつ </t>
    </rPh>
    <phoneticPr fontId="3" type="Hiragana"/>
  </si>
  <si>
    <t>多様性</t>
    <rPh sb="0" eb="2">
      <t xml:space="preserve">たようせい </t>
    </rPh>
    <phoneticPr fontId="3" type="Hiragana"/>
  </si>
  <si>
    <t>制限</t>
    <rPh sb="0" eb="2">
      <t xml:space="preserve">せいげん </t>
    </rPh>
    <phoneticPr fontId="3" type="Hiragana"/>
  </si>
  <si>
    <t>アレルギー</t>
    <phoneticPr fontId="3" type="Hiragana"/>
  </si>
  <si>
    <t>ハラール</t>
    <phoneticPr fontId="3" type="Hiragana"/>
  </si>
  <si>
    <t>システム</t>
    <phoneticPr fontId="3" type="Hiragana"/>
  </si>
  <si>
    <t>提供する</t>
    <rPh sb="0" eb="1">
      <t xml:space="preserve">ていきょうする </t>
    </rPh>
    <phoneticPr fontId="3" type="Hiragana"/>
  </si>
  <si>
    <t>お客さん</t>
    <phoneticPr fontId="3" type="Hiragana"/>
  </si>
  <si>
    <t xml:space="preserve">to be limited to </t>
    <phoneticPr fontId="3"/>
  </si>
  <si>
    <t>とどまる</t>
    <phoneticPr fontId="3" type="Hiragana"/>
  </si>
  <si>
    <t>貧困救済</t>
    <rPh sb="0" eb="4">
      <t xml:space="preserve">ひんこんきゅうさい </t>
    </rPh>
    <phoneticPr fontId="3" type="Hiragana"/>
  </si>
  <si>
    <t>（〜を）貼る</t>
    <rPh sb="4" eb="5">
      <t xml:space="preserve">はる </t>
    </rPh>
    <phoneticPr fontId="3" type="Hiragana"/>
  </si>
  <si>
    <t>free meal ticket</t>
    <phoneticPr fontId="3"/>
  </si>
  <si>
    <t>ただめし券</t>
    <rPh sb="4" eb="5">
      <t xml:space="preserve">けん </t>
    </rPh>
    <phoneticPr fontId="3" type="Hiragana"/>
  </si>
  <si>
    <t>そのうえ</t>
    <phoneticPr fontId="3" type="Hiragana"/>
  </si>
  <si>
    <t xml:space="preserve">staff meal </t>
    <phoneticPr fontId="3"/>
  </si>
  <si>
    <t>まかない</t>
    <phoneticPr fontId="3" type="Hiragana"/>
  </si>
  <si>
    <t>emlpoyee</t>
    <phoneticPr fontId="3"/>
  </si>
  <si>
    <t>従業員</t>
    <rPh sb="0" eb="1">
      <t xml:space="preserve">じゅうぎょういん </t>
    </rPh>
    <phoneticPr fontId="3" type="Hiragana"/>
  </si>
  <si>
    <t>未来食堂</t>
    <rPh sb="0" eb="2">
      <t xml:space="preserve">みらい </t>
    </rPh>
    <rPh sb="2" eb="4">
      <t xml:space="preserve">しょくどう </t>
    </rPh>
    <phoneticPr fontId="3" type="Hiragana"/>
  </si>
  <si>
    <t>事例</t>
    <rPh sb="0" eb="2">
      <t xml:space="preserve">じれい </t>
    </rPh>
    <phoneticPr fontId="3" type="Hiragana"/>
  </si>
  <si>
    <t>広がりをみせる</t>
    <phoneticPr fontId="3" type="Hiragana"/>
  </si>
  <si>
    <t>to seek</t>
    <phoneticPr fontId="3"/>
  </si>
  <si>
    <t>希望する</t>
    <rPh sb="0" eb="2">
      <t xml:space="preserve">きぼうする </t>
    </rPh>
    <phoneticPr fontId="3" type="Hiragana"/>
  </si>
  <si>
    <t>投資</t>
    <rPh sb="0" eb="2">
      <t xml:space="preserve">とうし </t>
    </rPh>
    <phoneticPr fontId="3" type="Hiragana"/>
  </si>
  <si>
    <t>先駆者</t>
    <rPh sb="0" eb="3">
      <t xml:space="preserve">せんくしゃ </t>
    </rPh>
    <phoneticPr fontId="3" type="Hiragana"/>
  </si>
  <si>
    <t>両立する</t>
    <rPh sb="0" eb="1">
      <t xml:space="preserve">りょうりつ </t>
    </rPh>
    <phoneticPr fontId="3" type="Hiragana"/>
  </si>
  <si>
    <t>支援する</t>
    <rPh sb="0" eb="1">
      <t>える</t>
    </rPh>
    <phoneticPr fontId="3" type="Hiragana"/>
  </si>
  <si>
    <t>social advancement</t>
    <phoneticPr fontId="3"/>
  </si>
  <si>
    <t>社会進出</t>
    <rPh sb="0" eb="2">
      <t xml:space="preserve">しゃかい </t>
    </rPh>
    <rPh sb="2" eb="4">
      <t xml:space="preserve">しんしゅつ </t>
    </rPh>
    <phoneticPr fontId="3" type="Hiragana"/>
  </si>
  <si>
    <t>設立する</t>
    <rPh sb="0" eb="1">
      <t xml:space="preserve">せつりつする </t>
    </rPh>
    <phoneticPr fontId="3" type="Hiragana"/>
  </si>
  <si>
    <t>to last for a long time</t>
    <phoneticPr fontId="3"/>
  </si>
  <si>
    <t>長続きする</t>
    <rPh sb="0" eb="1">
      <t xml:space="preserve">ながつづき </t>
    </rPh>
    <phoneticPr fontId="3" type="Hiragana"/>
  </si>
  <si>
    <t>activity</t>
  </si>
  <si>
    <t>のみ</t>
    <phoneticPr fontId="3" type="Hiragana"/>
  </si>
  <si>
    <t>ナイチンゲール</t>
    <phoneticPr fontId="3" type="Hiragana"/>
  </si>
  <si>
    <t>modern nursing education</t>
  </si>
  <si>
    <t>近代看護教育</t>
    <rPh sb="0" eb="2">
      <t xml:space="preserve">きんだい </t>
    </rPh>
    <phoneticPr fontId="3" type="Hiragana"/>
  </si>
  <si>
    <t>世紀</t>
    <rPh sb="0" eb="2">
      <t xml:space="preserve">せいき </t>
    </rPh>
    <phoneticPr fontId="3" type="Hiragana"/>
  </si>
  <si>
    <t>推奨する</t>
    <rPh sb="0" eb="1">
      <t xml:space="preserve">すいしょう </t>
    </rPh>
    <phoneticPr fontId="3" type="Hiragana"/>
  </si>
  <si>
    <t xml:space="preserve">value </t>
    <phoneticPr fontId="3"/>
  </si>
  <si>
    <t>価値</t>
    <rPh sb="0" eb="2">
      <t xml:space="preserve">かち </t>
    </rPh>
    <phoneticPr fontId="3" type="Hiragana"/>
  </si>
  <si>
    <t>広める</t>
    <rPh sb="0" eb="1">
      <t xml:space="preserve">ひろめる </t>
    </rPh>
    <phoneticPr fontId="3" type="Hiragana"/>
  </si>
  <si>
    <t>sustanable</t>
    <phoneticPr fontId="3"/>
  </si>
  <si>
    <t>持続可能（な）</t>
    <rPh sb="0" eb="1">
      <t xml:space="preserve">じぞくかのう </t>
    </rPh>
    <phoneticPr fontId="3" type="Hiragana"/>
  </si>
  <si>
    <t>to develop</t>
    <phoneticPr fontId="3"/>
  </si>
  <si>
    <t>開発する</t>
    <rPh sb="0" eb="1">
      <t xml:space="preserve">かいはつする </t>
    </rPh>
    <phoneticPr fontId="3" type="Hiragana"/>
  </si>
  <si>
    <t xml:space="preserve">social contribution </t>
  </si>
  <si>
    <t>社会貢献</t>
    <rPh sb="0" eb="2">
      <t xml:space="preserve">しゃかい </t>
    </rPh>
    <rPh sb="2" eb="4">
      <t xml:space="preserve">こうけん </t>
    </rPh>
    <phoneticPr fontId="3" type="Hiragana"/>
  </si>
  <si>
    <t>to address</t>
    <phoneticPr fontId="3"/>
  </si>
  <si>
    <t>（〜を）取り挙げる</t>
    <rPh sb="4" eb="5">
      <t xml:space="preserve">とりあげる </t>
    </rPh>
    <phoneticPr fontId="3" type="Hiragana"/>
  </si>
  <si>
    <t>innovativeness</t>
    <phoneticPr fontId="3"/>
  </si>
  <si>
    <t>革新性</t>
    <rPh sb="0" eb="3">
      <t xml:space="preserve">かくしんせい </t>
    </rPh>
    <phoneticPr fontId="3" type="Hiragana"/>
  </si>
  <si>
    <t>feasibility</t>
    <phoneticPr fontId="3"/>
  </si>
  <si>
    <t>事業性</t>
    <rPh sb="0" eb="3">
      <t xml:space="preserve">じぎょうせい </t>
    </rPh>
    <phoneticPr fontId="3" type="Hiragana"/>
  </si>
  <si>
    <t>特色</t>
    <rPh sb="0" eb="2">
      <t xml:space="preserve">とくしょく </t>
    </rPh>
    <phoneticPr fontId="3" type="Hiragana"/>
  </si>
  <si>
    <t>Ministry of Economy, Trade, and Industry (METI)</t>
    <phoneticPr fontId="3"/>
  </si>
  <si>
    <t>経済産業省</t>
    <rPh sb="0" eb="1">
      <t>けいざいさん</t>
    </rPh>
    <phoneticPr fontId="3" type="Hiragana"/>
  </si>
  <si>
    <t>取り組み</t>
    <phoneticPr fontId="3" type="Hiragana"/>
  </si>
  <si>
    <t>事業</t>
    <rPh sb="0" eb="1">
      <t xml:space="preserve">じぎょう </t>
    </rPh>
    <phoneticPr fontId="3" type="Hiragana"/>
  </si>
  <si>
    <t>解決する</t>
    <rPh sb="0" eb="2">
      <t xml:space="preserve">かいけつする </t>
    </rPh>
    <phoneticPr fontId="3" type="Hiragana"/>
  </si>
  <si>
    <t>差別</t>
    <rPh sb="0" eb="2">
      <t xml:space="preserve">さべつ </t>
    </rPh>
    <phoneticPr fontId="3" type="Hiragana"/>
  </si>
  <si>
    <t>貧困</t>
    <rPh sb="0" eb="2">
      <t xml:space="preserve">ひんこん </t>
    </rPh>
    <phoneticPr fontId="3" type="Hiragana"/>
  </si>
  <si>
    <t>用いる</t>
    <rPh sb="0" eb="1">
      <t xml:space="preserve">もちいる </t>
    </rPh>
    <phoneticPr fontId="3" type="Hiragana"/>
  </si>
  <si>
    <t>手法</t>
    <rPh sb="0" eb="2">
      <t xml:space="preserve">シュホウ </t>
    </rPh>
    <phoneticPr fontId="3"/>
  </si>
  <si>
    <t>ビジネス</t>
    <phoneticPr fontId="3" type="Hiragana"/>
  </si>
  <si>
    <t>social innovation</t>
  </si>
  <si>
    <t>ソーシャルイノベーション</t>
    <phoneticPr fontId="3" type="Hiragana"/>
  </si>
  <si>
    <t>to participate in</t>
    <phoneticPr fontId="3"/>
  </si>
  <si>
    <t>（〜に）参加する</t>
    <rPh sb="4" eb="6">
      <t xml:space="preserve">さんかする </t>
    </rPh>
    <phoneticPr fontId="3" type="Hiragana"/>
  </si>
  <si>
    <t>social contribution activities</t>
  </si>
  <si>
    <t>社会貢献活動</t>
    <rPh sb="0" eb="2">
      <t xml:space="preserve">しゃかい </t>
    </rPh>
    <rPh sb="2" eb="3">
      <t xml:space="preserve">こうけんかつどう </t>
    </rPh>
    <phoneticPr fontId="3" type="Hiragana"/>
  </si>
  <si>
    <t>solution</t>
    <phoneticPr fontId="3"/>
  </si>
  <si>
    <t>解決</t>
    <rPh sb="0" eb="2">
      <t xml:space="preserve">かいけつ </t>
    </rPh>
    <phoneticPr fontId="3" type="Hiragana"/>
  </si>
  <si>
    <t>issue</t>
  </si>
  <si>
    <t>課題</t>
    <rPh sb="0" eb="1">
      <t xml:space="preserve">かだい </t>
    </rPh>
    <phoneticPr fontId="3" type="Hiragana"/>
  </si>
  <si>
    <t>ソーシャルビジネス</t>
    <phoneticPr fontId="3" type="Hiragana"/>
  </si>
  <si>
    <t>今後</t>
    <rPh sb="0" eb="2">
      <t xml:space="preserve">こんご </t>
    </rPh>
    <phoneticPr fontId="3" type="Hiragana"/>
  </si>
  <si>
    <t>attempt</t>
    <phoneticPr fontId="3"/>
  </si>
  <si>
    <t>試み</t>
    <rPh sb="0" eb="1">
      <t xml:space="preserve">こころみる </t>
    </rPh>
    <phoneticPr fontId="3" type="Hiragana"/>
  </si>
  <si>
    <t>両立する</t>
    <rPh sb="0" eb="2">
      <t xml:space="preserve">りょうりつ </t>
    </rPh>
    <phoneticPr fontId="3" type="Hiragana"/>
  </si>
  <si>
    <t>軽減</t>
    <rPh sb="0" eb="2">
      <t xml:space="preserve">けいげん </t>
    </rPh>
    <phoneticPr fontId="3" type="Hiragana"/>
  </si>
  <si>
    <t>business</t>
    <phoneticPr fontId="3"/>
  </si>
  <si>
    <t>ビジネス</t>
    <phoneticPr fontId="3"/>
  </si>
  <si>
    <t xml:space="preserve">member </t>
    <phoneticPr fontId="3"/>
  </si>
  <si>
    <t>メンバー</t>
    <phoneticPr fontId="3"/>
  </si>
  <si>
    <t>to upload</t>
    <phoneticPr fontId="3"/>
  </si>
  <si>
    <t>アップロード</t>
    <phoneticPr fontId="3"/>
  </si>
  <si>
    <t>to give a discount</t>
    <phoneticPr fontId="3"/>
  </si>
  <si>
    <t>割引する</t>
    <rPh sb="0" eb="2">
      <t xml:space="preserve">わりびきする </t>
    </rPh>
    <phoneticPr fontId="3" type="Hiragana"/>
  </si>
  <si>
    <t>unsold goods</t>
    <phoneticPr fontId="3"/>
  </si>
  <si>
    <t>売れ残り</t>
    <phoneticPr fontId="3" type="Hiragana"/>
  </si>
  <si>
    <t>to be left over</t>
    <phoneticPr fontId="3"/>
  </si>
  <si>
    <t>飲食店</t>
    <rPh sb="0" eb="3">
      <t xml:space="preserve">いんしょくてん </t>
    </rPh>
    <phoneticPr fontId="3" type="Hiragana"/>
  </si>
  <si>
    <t>app/application</t>
  </si>
  <si>
    <t>アプリ</t>
    <phoneticPr fontId="3" type="Hiragana"/>
  </si>
  <si>
    <t>スマホ</t>
    <phoneticPr fontId="3" type="Hiragana"/>
  </si>
  <si>
    <t>コンセプト</t>
    <phoneticPr fontId="3" type="Hiragana"/>
  </si>
  <si>
    <t>受け取る</t>
    <rPh sb="0" eb="1">
      <t xml:space="preserve">うけとる </t>
    </rPh>
    <phoneticPr fontId="3" type="Hiragana"/>
  </si>
  <si>
    <t>環境</t>
    <rPh sb="0" eb="1">
      <t xml:space="preserve">かんきょう </t>
    </rPh>
    <phoneticPr fontId="3" type="Hiragana"/>
  </si>
  <si>
    <t>to reduce</t>
    <phoneticPr fontId="3"/>
  </si>
  <si>
    <t>（〜が）減る</t>
    <rPh sb="4" eb="5">
      <t xml:space="preserve">へる </t>
    </rPh>
    <phoneticPr fontId="3" type="Hiragana"/>
  </si>
  <si>
    <t>to economize on</t>
    <phoneticPr fontId="3"/>
  </si>
  <si>
    <t>（〜を）節約する</t>
    <rPh sb="4" eb="6">
      <t xml:space="preserve">せつやく </t>
    </rPh>
    <phoneticPr fontId="3" type="Hiragana"/>
  </si>
  <si>
    <t>経費</t>
    <rPh sb="0" eb="2">
      <t xml:space="preserve">けいひ </t>
    </rPh>
    <phoneticPr fontId="3" type="Hiragana"/>
  </si>
  <si>
    <t>system</t>
    <phoneticPr fontId="3"/>
  </si>
  <si>
    <t>システム</t>
    <phoneticPr fontId="3"/>
  </si>
  <si>
    <t>to provide</t>
    <phoneticPr fontId="3"/>
  </si>
  <si>
    <t>提供する</t>
    <rPh sb="0" eb="2">
      <t xml:space="preserve">ていきょうする </t>
    </rPh>
    <phoneticPr fontId="3" type="Hiragana"/>
  </si>
  <si>
    <t>人達</t>
    <rPh sb="0" eb="1">
      <t xml:space="preserve">ひとたち </t>
    </rPh>
    <phoneticPr fontId="3" type="Hiragana"/>
  </si>
  <si>
    <t>企業</t>
    <rPh sb="0" eb="1">
      <t xml:space="preserve">きぎょう </t>
    </rPh>
    <phoneticPr fontId="3" type="Hiragana"/>
  </si>
  <si>
    <t>food bank</t>
  </si>
  <si>
    <t>フードバンク</t>
    <phoneticPr fontId="3" type="Hiragana"/>
  </si>
  <si>
    <t>representative</t>
    <phoneticPr fontId="3"/>
  </si>
  <si>
    <t>（〜に）取り組む</t>
    <rPh sb="4" eb="5">
      <t xml:space="preserve">とりくむ </t>
    </rPh>
    <phoneticPr fontId="3" type="Hiragana"/>
  </si>
  <si>
    <t>責任</t>
    <rPh sb="0" eb="2">
      <t xml:space="preserve">せきにん </t>
    </rPh>
    <phoneticPr fontId="3" type="Hiragana"/>
  </si>
  <si>
    <t>（〜を）取り上げる</t>
    <rPh sb="4" eb="5">
      <t xml:space="preserve">とりあげられる </t>
    </rPh>
    <phoneticPr fontId="3" type="Hiragana"/>
  </si>
  <si>
    <t>development goals</t>
    <phoneticPr fontId="3"/>
  </si>
  <si>
    <t>開発目標</t>
    <rPh sb="0" eb="1">
      <t xml:space="preserve">かいはつ </t>
    </rPh>
    <rPh sb="2" eb="4">
      <t xml:space="preserve">もくひょう </t>
    </rPh>
    <phoneticPr fontId="3" type="Hiragana"/>
  </si>
  <si>
    <t>持続可能（な）</t>
    <rPh sb="0" eb="2">
      <t xml:space="preserve">じぞく </t>
    </rPh>
    <rPh sb="2" eb="4">
      <t xml:space="preserve">かのう </t>
    </rPh>
    <phoneticPr fontId="3" type="Hiragana"/>
  </si>
  <si>
    <t xml:space="preserve">to set </t>
    <phoneticPr fontId="3"/>
  </si>
  <si>
    <t>設定する</t>
    <rPh sb="0" eb="2">
      <t xml:space="preserve">せってい </t>
    </rPh>
    <phoneticPr fontId="3" type="Hiragana"/>
  </si>
  <si>
    <t xml:space="preserve">to solve </t>
    <phoneticPr fontId="3"/>
  </si>
  <si>
    <t>解決する</t>
    <rPh sb="0" eb="2">
      <t xml:space="preserve">かいけつ </t>
    </rPh>
    <phoneticPr fontId="3" type="Hiragana"/>
  </si>
  <si>
    <t>開発する</t>
    <rPh sb="0" eb="1">
      <t xml:space="preserve">カイハツ </t>
    </rPh>
    <phoneticPr fontId="3"/>
  </si>
  <si>
    <t>long-term presevation</t>
    <phoneticPr fontId="3"/>
  </si>
  <si>
    <t>長期保存</t>
    <rPh sb="0" eb="1">
      <t xml:space="preserve">ちょうきほうぞう </t>
    </rPh>
    <rPh sb="2" eb="4">
      <t xml:space="preserve">ほぞん </t>
    </rPh>
    <phoneticPr fontId="3" type="Hiragana"/>
  </si>
  <si>
    <t>値引する</t>
    <rPh sb="0" eb="2">
      <t xml:space="preserve">ねびきする </t>
    </rPh>
    <phoneticPr fontId="3" type="Hiragana"/>
  </si>
  <si>
    <t>expiration date</t>
    <phoneticPr fontId="3"/>
  </si>
  <si>
    <t>賞味期限</t>
    <rPh sb="0" eb="4">
      <t xml:space="preserve">しょうみきげん </t>
    </rPh>
    <phoneticPr fontId="3" type="Hiragana"/>
  </si>
  <si>
    <t>to reduce</t>
  </si>
  <si>
    <t>削減する</t>
    <rPh sb="0" eb="2">
      <t xml:space="preserve">さくげん </t>
    </rPh>
    <phoneticPr fontId="3" type="Hiragana"/>
  </si>
  <si>
    <t>（〜が）余る</t>
    <rPh sb="4" eb="5">
      <t xml:space="preserve">あまる </t>
    </rPh>
    <phoneticPr fontId="3" type="Hiragana"/>
  </si>
  <si>
    <t>to manage</t>
    <phoneticPr fontId="3"/>
  </si>
  <si>
    <t>管理する</t>
    <rPh sb="0" eb="2">
      <t xml:space="preserve">かんり </t>
    </rPh>
    <phoneticPr fontId="3" type="Hiragana"/>
  </si>
  <si>
    <t xml:space="preserve">inventory status </t>
    <phoneticPr fontId="3"/>
  </si>
  <si>
    <t>在庫状況</t>
    <rPh sb="0" eb="2">
      <t xml:space="preserve">ざいこ </t>
    </rPh>
    <phoneticPr fontId="3" type="Hiragana"/>
  </si>
  <si>
    <t>対策</t>
    <rPh sb="0" eb="2">
      <t xml:space="preserve">たいさく </t>
    </rPh>
    <phoneticPr fontId="3" type="Hiragana"/>
  </si>
  <si>
    <t>yearly</t>
    <phoneticPr fontId="3"/>
  </si>
  <si>
    <t>年間</t>
    <rPh sb="0" eb="2">
      <t xml:space="preserve">ねんかん </t>
    </rPh>
    <phoneticPr fontId="3" type="Hiragana"/>
  </si>
  <si>
    <t>per~ (e.g. person, store, year)</t>
    <phoneticPr fontId="3"/>
  </si>
  <si>
    <t>あたり</t>
    <phoneticPr fontId="3" type="Hiragana"/>
  </si>
  <si>
    <t>店舗</t>
    <rPh sb="0" eb="2">
      <t xml:space="preserve">てんぽ </t>
    </rPh>
    <phoneticPr fontId="3" type="Hiragana"/>
  </si>
  <si>
    <t xml:space="preserve">business operator </t>
    <phoneticPr fontId="3"/>
  </si>
  <si>
    <t>事業者</t>
    <rPh sb="0" eb="3">
      <t xml:space="preserve">じぎょうしゃ </t>
    </rPh>
    <phoneticPr fontId="3" type="Hiragana"/>
  </si>
  <si>
    <t>to order</t>
    <phoneticPr fontId="3"/>
  </si>
  <si>
    <t>注文する</t>
    <rPh sb="0" eb="2">
      <t xml:space="preserve">ちゅうもんづる </t>
    </rPh>
    <phoneticPr fontId="3" type="Hiragana"/>
  </si>
  <si>
    <t>as much as you can eat</t>
    <phoneticPr fontId="3"/>
  </si>
  <si>
    <t>食べられる分</t>
    <rPh sb="0" eb="1">
      <t xml:space="preserve">たべられる </t>
    </rPh>
    <rPh sb="5" eb="6">
      <t>ぶん</t>
    </rPh>
    <phoneticPr fontId="3" type="Hiragana"/>
  </si>
  <si>
    <t>to eat out</t>
    <phoneticPr fontId="3"/>
  </si>
  <si>
    <t>外食する</t>
    <rPh sb="0" eb="2">
      <t xml:space="preserve">がいしょくする </t>
    </rPh>
    <phoneticPr fontId="3" type="Hiragana"/>
  </si>
  <si>
    <t>to leave</t>
  </si>
  <si>
    <t>（〜を）減らす</t>
    <rPh sb="4" eb="5">
      <t xml:space="preserve">へらす </t>
    </rPh>
    <phoneticPr fontId="3" type="Hiragana"/>
  </si>
  <si>
    <t>to give (a reason)</t>
    <phoneticPr fontId="3"/>
  </si>
  <si>
    <t>挙げる</t>
    <phoneticPr fontId="3" type="Hiragana"/>
  </si>
  <si>
    <t>多め</t>
    <phoneticPr fontId="3" type="Hiragana"/>
  </si>
  <si>
    <t xml:space="preserve">to occupy </t>
    <phoneticPr fontId="3"/>
  </si>
  <si>
    <t>占める</t>
    <rPh sb="0" eb="1">
      <t xml:space="preserve">しめる </t>
    </rPh>
    <phoneticPr fontId="3" type="Hiragana"/>
  </si>
  <si>
    <t>半数</t>
    <rPh sb="0" eb="2">
      <t xml:space="preserve">はんすう </t>
    </rPh>
    <phoneticPr fontId="3" type="Hiragana"/>
  </si>
  <si>
    <t xml:space="preserve">fiscal year </t>
    <phoneticPr fontId="3"/>
  </si>
  <si>
    <t>年度</t>
    <rPh sb="0" eb="2">
      <t xml:space="preserve">ネンド </t>
    </rPh>
    <phoneticPr fontId="3"/>
  </si>
  <si>
    <t>exception</t>
    <phoneticPr fontId="3"/>
  </si>
  <si>
    <t>例外</t>
    <rPh sb="0" eb="2">
      <t xml:space="preserve">レイガイ </t>
    </rPh>
    <phoneticPr fontId="3"/>
  </si>
  <si>
    <t xml:space="preserve">to dispose </t>
    <phoneticPr fontId="3"/>
  </si>
  <si>
    <t>廃棄する</t>
    <rPh sb="0" eb="2">
      <t xml:space="preserve">ハイキ </t>
    </rPh>
    <phoneticPr fontId="3"/>
  </si>
  <si>
    <t>a ton (a unit of weight)</t>
    <phoneticPr fontId="3"/>
  </si>
  <si>
    <t>トン</t>
    <phoneticPr fontId="3" type="Hiragana"/>
  </si>
  <si>
    <t>approximately</t>
  </si>
  <si>
    <t>約</t>
    <phoneticPr fontId="3" type="Hiragana"/>
  </si>
  <si>
    <t>Food Waste Index Report</t>
    <phoneticPr fontId="3"/>
  </si>
  <si>
    <t>食品廃棄指標報告</t>
  </si>
  <si>
    <t>United Nations Environment Program (UNEP)</t>
    <phoneticPr fontId="3"/>
  </si>
  <si>
    <t>国連環境計画</t>
    <rPh sb="0" eb="2">
      <t xml:space="preserve">こくれん </t>
    </rPh>
    <rPh sb="2" eb="4">
      <t xml:space="preserve">かんきょう </t>
    </rPh>
    <rPh sb="4" eb="6">
      <t xml:space="preserve">けいかく </t>
    </rPh>
    <phoneticPr fontId="3" type="Hiragana"/>
  </si>
  <si>
    <t xml:space="preserve">to discard </t>
    <phoneticPr fontId="3"/>
  </si>
  <si>
    <t>捨てる</t>
    <rPh sb="0" eb="1">
      <t xml:space="preserve">すてる </t>
    </rPh>
    <phoneticPr fontId="3" type="Hiragana"/>
  </si>
  <si>
    <t>食べ切る</t>
    <rPh sb="2" eb="3">
      <t xml:space="preserve">キル </t>
    </rPh>
    <phoneticPr fontId="3"/>
  </si>
  <si>
    <t>food loss and waste</t>
    <phoneticPr fontId="3"/>
  </si>
  <si>
    <t>L10</t>
    <phoneticPr fontId="3" type="Hiragana"/>
  </si>
  <si>
    <t>かだいかいけつ</t>
  </si>
  <si>
    <t>しょくひん ろす</t>
  </si>
  <si>
    <t>たべきれる</t>
  </si>
  <si>
    <t>すてる</t>
  </si>
  <si>
    <t>こくれんかんきょうけいかく</t>
  </si>
  <si>
    <t>しょくひんはいきしひょうほうこく</t>
  </si>
  <si>
    <t>やく</t>
  </si>
  <si>
    <t>とん</t>
  </si>
  <si>
    <t>はいきする</t>
  </si>
  <si>
    <t>れいがい</t>
  </si>
  <si>
    <t>ねんど</t>
  </si>
  <si>
    <t xml:space="preserve">はんすう </t>
  </si>
  <si>
    <t>しめる</t>
  </si>
  <si>
    <t>あげる</t>
  </si>
  <si>
    <t>（〜を）へらす</t>
  </si>
  <si>
    <t>がいしょくする</t>
  </si>
  <si>
    <t>たべられるぶん</t>
  </si>
  <si>
    <t>ちゅうもんする</t>
  </si>
  <si>
    <t xml:space="preserve">じぎょうしゃ </t>
  </si>
  <si>
    <t xml:space="preserve">てんぽ </t>
  </si>
  <si>
    <t>あたり</t>
  </si>
  <si>
    <t xml:space="preserve">ねんかん </t>
  </si>
  <si>
    <t xml:space="preserve">たいさく </t>
  </si>
  <si>
    <t>（〜に）とりくむ</t>
  </si>
  <si>
    <t>さいこじょうきょう</t>
  </si>
  <si>
    <t>かんりする</t>
  </si>
  <si>
    <t>（〜が）あまる</t>
  </si>
  <si>
    <t>さくげんする</t>
  </si>
  <si>
    <t xml:space="preserve">しょうみきげん </t>
  </si>
  <si>
    <t>ねびきする</t>
  </si>
  <si>
    <t>ちょうきほぞん</t>
  </si>
  <si>
    <t>かいはつする</t>
  </si>
  <si>
    <t>かいけつする</t>
  </si>
  <si>
    <t>せっていする</t>
  </si>
  <si>
    <t>じぞくかのう（な）</t>
  </si>
  <si>
    <t>かいはつもくひょう</t>
  </si>
  <si>
    <t>（〜を）とりあげる</t>
  </si>
  <si>
    <t xml:space="preserve">せきにん </t>
  </si>
  <si>
    <t>だいひょうてきな</t>
  </si>
  <si>
    <t>フードバンク</t>
  </si>
  <si>
    <t>きぎょう</t>
  </si>
  <si>
    <t>ひとたち</t>
  </si>
  <si>
    <t>しすてむ</t>
  </si>
  <si>
    <t xml:space="preserve">けいひ </t>
  </si>
  <si>
    <t>（〜を）せつやくする</t>
  </si>
  <si>
    <t>うけとる</t>
  </si>
  <si>
    <t>こんせぷと</t>
  </si>
  <si>
    <t>すまほ</t>
  </si>
  <si>
    <t>あぷり</t>
  </si>
  <si>
    <t xml:space="preserve">いんしょくてん </t>
  </si>
  <si>
    <t>うれのこり</t>
  </si>
  <si>
    <t>わりびきする</t>
  </si>
  <si>
    <t>あっぷろーど</t>
  </si>
  <si>
    <t>めんばー</t>
  </si>
  <si>
    <t>びじねす</t>
  </si>
  <si>
    <t xml:space="preserve">けいげん </t>
  </si>
  <si>
    <t>りょうりつする</t>
  </si>
  <si>
    <t>こころみ</t>
  </si>
  <si>
    <t xml:space="preserve">こんご </t>
  </si>
  <si>
    <t>そーしゃるびじねす</t>
  </si>
  <si>
    <t>かだい</t>
  </si>
  <si>
    <t xml:space="preserve">かいけつ </t>
  </si>
  <si>
    <t>しゃかいこうけんかつどう</t>
  </si>
  <si>
    <t>（〜に）さんかする</t>
  </si>
  <si>
    <t>そーしゃるいのべーしょん</t>
  </si>
  <si>
    <t>しゅほう</t>
  </si>
  <si>
    <t>もちいる</t>
  </si>
  <si>
    <t xml:space="preserve">ひんこん </t>
  </si>
  <si>
    <t xml:space="preserve">さべつ </t>
  </si>
  <si>
    <t>じぎょう</t>
  </si>
  <si>
    <t>けいざいさんぎょうしょう</t>
  </si>
  <si>
    <t xml:space="preserve">とくしょく </t>
  </si>
  <si>
    <t xml:space="preserve">じぎょうせい </t>
  </si>
  <si>
    <t xml:space="preserve">かくしんせい </t>
  </si>
  <si>
    <t xml:space="preserve">しゃかい こうけん </t>
  </si>
  <si>
    <t>ひろめる</t>
  </si>
  <si>
    <t xml:space="preserve">かち </t>
  </si>
  <si>
    <t>すいしょうする</t>
  </si>
  <si>
    <t xml:space="preserve">せいき </t>
  </si>
  <si>
    <t>きんだいかんごきょういく</t>
  </si>
  <si>
    <t>ないちんげーる</t>
  </si>
  <si>
    <t>のみ</t>
  </si>
  <si>
    <t>ながつづき</t>
  </si>
  <si>
    <t>せつりつする</t>
  </si>
  <si>
    <t xml:space="preserve">しゃかい しんしゅつ </t>
  </si>
  <si>
    <t>しえんする</t>
  </si>
  <si>
    <t xml:space="preserve">せんくしゃ </t>
  </si>
  <si>
    <t xml:space="preserve">とうし </t>
  </si>
  <si>
    <t>きぼうする</t>
  </si>
  <si>
    <t>ひろがりをみせる</t>
  </si>
  <si>
    <t xml:space="preserve">じれい </t>
  </si>
  <si>
    <t xml:space="preserve">みらい しょくどう </t>
  </si>
  <si>
    <t>じゅうぎょういん</t>
  </si>
  <si>
    <t>まかない</t>
  </si>
  <si>
    <t>そのうえ</t>
  </si>
  <si>
    <t xml:space="preserve">ただめしけん </t>
  </si>
  <si>
    <t>（〜を）はる</t>
  </si>
  <si>
    <t xml:space="preserve">ひんこんきゅうさい </t>
  </si>
  <si>
    <t>とどまる</t>
  </si>
  <si>
    <t>おきゃくさん</t>
  </si>
  <si>
    <t>はらーる</t>
  </si>
  <si>
    <t>あれるぎー</t>
  </si>
  <si>
    <t xml:space="preserve">せいげん </t>
  </si>
  <si>
    <t>ほうかつする</t>
  </si>
  <si>
    <t>ことなる</t>
  </si>
  <si>
    <t xml:space="preserve">しょくしゅうかん </t>
  </si>
  <si>
    <t>かこむ</t>
  </si>
  <si>
    <t xml:space="preserve">ほじょ </t>
  </si>
  <si>
    <t>かつようする</t>
  </si>
  <si>
    <t xml:space="preserve">きずな </t>
  </si>
  <si>
    <t>ふかめる</t>
  </si>
  <si>
    <t>はたらける</t>
  </si>
  <si>
    <t>こんごうえいりがた</t>
  </si>
  <si>
    <t>かふぇ</t>
  </si>
  <si>
    <t>さらに</t>
  </si>
  <si>
    <t>じんざい</t>
  </si>
  <si>
    <t xml:space="preserve">いくせい </t>
  </si>
  <si>
    <t xml:space="preserve">きょういくげんば </t>
  </si>
  <si>
    <t>むすびつける</t>
  </si>
  <si>
    <t xml:space="preserve">すうねん </t>
  </si>
  <si>
    <t>こんご</t>
  </si>
  <si>
    <t>ますます</t>
  </si>
  <si>
    <t>きたいする</t>
  </si>
  <si>
    <t xml:space="preserve">けいざいがくしゃ </t>
  </si>
  <si>
    <t>むはまど・ゆぬす</t>
  </si>
  <si>
    <t>あつらえる</t>
  </si>
  <si>
    <t>けんこう</t>
  </si>
  <si>
    <t>ちょうじゅ</t>
  </si>
  <si>
    <t>ようぐると</t>
  </si>
  <si>
    <t>はくしょ</t>
  </si>
  <si>
    <t>じょせい</t>
  </si>
  <si>
    <t>ひけつ</t>
  </si>
  <si>
    <t>ちょうみりょう</t>
  </si>
  <si>
    <t>すべて</t>
  </si>
  <si>
    <t>びせいぶつ</t>
  </si>
  <si>
    <t>かつおぶし</t>
  </si>
  <si>
    <t>かつお</t>
  </si>
  <si>
    <t>ゆし</t>
  </si>
  <si>
    <t>あまみ</t>
  </si>
  <si>
    <t>しおみ</t>
  </si>
  <si>
    <t>さんみ</t>
  </si>
  <si>
    <t>にがみ</t>
  </si>
  <si>
    <t>なっとう</t>
  </si>
  <si>
    <t>げんりょう</t>
  </si>
  <si>
    <t xml:space="preserve">たんぱくしつ </t>
  </si>
  <si>
    <t>ほうふ（な）</t>
  </si>
  <si>
    <t>とうふ</t>
  </si>
  <si>
    <t>びたみん</t>
  </si>
  <si>
    <t>めんえきりょく</t>
  </si>
  <si>
    <t>にがて</t>
  </si>
  <si>
    <t>ぷろていん</t>
  </si>
  <si>
    <t>でりしゃす</t>
  </si>
  <si>
    <t>もどきりょうり</t>
  </si>
  <si>
    <t>だいず</t>
  </si>
  <si>
    <t>そいみーと</t>
  </si>
  <si>
    <t>とともに</t>
  </si>
  <si>
    <t>しょくぶつせい</t>
  </si>
  <si>
    <t>ゆらい</t>
  </si>
  <si>
    <t>しょくひん</t>
  </si>
  <si>
    <t>ぶっきょう</t>
  </si>
  <si>
    <t>そうりょ</t>
  </si>
  <si>
    <t>しゅぎょう</t>
  </si>
  <si>
    <t>まめ</t>
  </si>
  <si>
    <t>こくるい</t>
  </si>
  <si>
    <t>けんこうしこう</t>
  </si>
  <si>
    <t>ねんだい</t>
  </si>
  <si>
    <t>べじたりあん</t>
  </si>
  <si>
    <t>たいしょう</t>
  </si>
  <si>
    <t>おうべい</t>
  </si>
  <si>
    <t>しじょう</t>
  </si>
  <si>
    <t>びいがん</t>
  </si>
  <si>
    <t>そうせいじ</t>
  </si>
  <si>
    <t>ふぁあすとふうど</t>
  </si>
  <si>
    <t>ばあがあ</t>
  </si>
  <si>
    <t>ちきんなげっと</t>
  </si>
  <si>
    <t>ていかろりい</t>
  </si>
  <si>
    <t>こうか</t>
  </si>
  <si>
    <t>へるしい（な）</t>
  </si>
  <si>
    <t>すうぷすとっく</t>
  </si>
  <si>
    <t>だいずみいと</t>
  </si>
  <si>
    <t>ちょうない</t>
  </si>
  <si>
    <t>ぱっけいじ</t>
  </si>
  <si>
    <t>ちぇいんてん</t>
  </si>
  <si>
    <t>いんたあねっと</t>
  </si>
  <si>
    <t>かちく</t>
  </si>
  <si>
    <t>さいしん</t>
  </si>
  <si>
    <t>てくのろじい</t>
  </si>
  <si>
    <t>ふうどてっく</t>
  </si>
  <si>
    <t>いちれい</t>
  </si>
  <si>
    <t>えいようそ</t>
  </si>
  <si>
    <t>ぐろおばる</t>
  </si>
  <si>
    <t>こんちゅう</t>
  </si>
  <si>
    <t>しんしょくざい</t>
  </si>
  <si>
    <t>りゅうつう</t>
  </si>
  <si>
    <t>ぷろせす</t>
  </si>
  <si>
    <t>しょくひんろす</t>
  </si>
  <si>
    <t>かいけつさく</t>
  </si>
  <si>
    <t>じんるい</t>
  </si>
  <si>
    <t>いじ</t>
  </si>
  <si>
    <t>ほぞん</t>
  </si>
  <si>
    <t>てんかぶつ</t>
  </si>
  <si>
    <t>えんぶん</t>
  </si>
  <si>
    <t>いでんし</t>
  </si>
  <si>
    <t>いこうる</t>
  </si>
  <si>
    <t>しょうひしゃ</t>
  </si>
  <si>
    <t>こうかろりい</t>
  </si>
  <si>
    <t>くらすめいと</t>
  </si>
  <si>
    <t>めにゅう</t>
  </si>
  <si>
    <t>こみゅにてぃい</t>
  </si>
  <si>
    <t>りいまんしょっく</t>
  </si>
  <si>
    <t xml:space="preserve">ひとりおやかてい </t>
  </si>
  <si>
    <t>こみゅにけいしょんぶそく</t>
  </si>
  <si>
    <t>まなび</t>
  </si>
  <si>
    <t>じぇんだあ</t>
  </si>
  <si>
    <t>いめいじする</t>
  </si>
  <si>
    <t>ぽりゅうむ</t>
  </si>
  <si>
    <t>できごと</t>
  </si>
  <si>
    <t>じぇんだあふりい</t>
  </si>
  <si>
    <t>かれいらいす</t>
  </si>
  <si>
    <t>しいん</t>
  </si>
  <si>
    <t>はあとまあく</t>
  </si>
  <si>
    <t>ていま</t>
  </si>
  <si>
    <t>すとおりい</t>
  </si>
  <si>
    <t>ばあ</t>
  </si>
  <si>
    <t>すとりっぷだんさあ</t>
  </si>
  <si>
    <t>えぴそうど</t>
  </si>
  <si>
    <t>ぱあとなあ</t>
  </si>
  <si>
    <t>どきゅめんたりい</t>
  </si>
  <si>
    <t>かうんたあ</t>
  </si>
  <si>
    <t xml:space="preserve">わしょくぎょうかい </t>
  </si>
  <si>
    <t>ぐろおばるか</t>
  </si>
  <si>
    <t>らあめん</t>
  </si>
  <si>
    <t>すうぷ</t>
  </si>
  <si>
    <t>にゅうようく</t>
  </si>
  <si>
    <t xml:space="preserve">ちぇいんてん </t>
  </si>
  <si>
    <t>ふぉお</t>
  </si>
  <si>
    <t>すぱげてぃい</t>
  </si>
  <si>
    <t xml:space="preserve">ろおかるか </t>
  </si>
  <si>
    <t>かりふぉるにあろうる</t>
  </si>
  <si>
    <t>ぺきんろうる</t>
  </si>
  <si>
    <t>びでおげいむ</t>
  </si>
  <si>
    <t>らいすばあがあ</t>
  </si>
  <si>
    <t>ぶりとお</t>
  </si>
  <si>
    <t>ゆにいく</t>
  </si>
  <si>
    <t>るうつ</t>
  </si>
  <si>
    <t>めいしょう</t>
  </si>
  <si>
    <t>ばくふ</t>
  </si>
  <si>
    <t>せいかつすいじゅん</t>
  </si>
  <si>
    <t>かんしん</t>
  </si>
  <si>
    <t>たんしん</t>
  </si>
  <si>
    <t>いぶくろ</t>
  </si>
  <si>
    <t>やたい</t>
  </si>
  <si>
    <t>がいしょく</t>
  </si>
  <si>
    <t>にぎりすし</t>
  </si>
  <si>
    <t>いわば</t>
  </si>
  <si>
    <t>かず</t>
  </si>
  <si>
    <t>しゅうかん</t>
  </si>
  <si>
    <t>いざかや</t>
  </si>
  <si>
    <t>こうきゅう（な）</t>
  </si>
  <si>
    <t>こうき</t>
  </si>
  <si>
    <t>ゆうふく（な）</t>
  </si>
  <si>
    <t>しょうにん</t>
  </si>
  <si>
    <t>ぶし</t>
  </si>
  <si>
    <t>えんかい</t>
  </si>
  <si>
    <t>りょうてい</t>
  </si>
  <si>
    <t>ごうか（な）</t>
  </si>
  <si>
    <t>げいしゃ</t>
  </si>
  <si>
    <t>かいせきりょうり</t>
  </si>
  <si>
    <t>さしみ</t>
  </si>
  <si>
    <t>にもの</t>
  </si>
  <si>
    <t>こうすりょうり</t>
  </si>
  <si>
    <t>わせいようしょく</t>
  </si>
  <si>
    <t>ぶんめいかいか</t>
  </si>
  <si>
    <t>てんかんき</t>
  </si>
  <si>
    <t>しんせいふ</t>
  </si>
  <si>
    <t>しそう</t>
  </si>
  <si>
    <t>きばん</t>
  </si>
  <si>
    <t>ゆうびん</t>
  </si>
  <si>
    <t>てつどう</t>
  </si>
  <si>
    <t>いんふらせいび</t>
  </si>
  <si>
    <t>こっか</t>
  </si>
  <si>
    <t>きんだいか</t>
  </si>
  <si>
    <t>にくしょく</t>
  </si>
  <si>
    <t>ねぎ</t>
  </si>
  <si>
    <t>ちょうりほう</t>
  </si>
  <si>
    <t>ぎゅうなべ</t>
  </si>
  <si>
    <t>さとう</t>
  </si>
  <si>
    <t>とうじ</t>
  </si>
  <si>
    <t>なじみ</t>
  </si>
  <si>
    <t>ようい</t>
  </si>
  <si>
    <t>こくみんしょく</t>
  </si>
  <si>
    <t>とんかつ</t>
  </si>
  <si>
    <t>いんど</t>
  </si>
  <si>
    <t>いぎりす</t>
  </si>
  <si>
    <t>しょき</t>
  </si>
  <si>
    <t>しなん</t>
  </si>
  <si>
    <t>ざいりょう</t>
  </si>
  <si>
    <t>たい</t>
  </si>
  <si>
    <t>かえる</t>
  </si>
  <si>
    <t>まっき</t>
  </si>
  <si>
    <t>すぱいしい（な）</t>
  </si>
  <si>
    <t>いがい（な）</t>
  </si>
  <si>
    <t>どくじ</t>
  </si>
  <si>
    <t>ちえ</t>
  </si>
  <si>
    <t>かのうせい</t>
  </si>
  <si>
    <t>つああ</t>
  </si>
  <si>
    <t>ふうどつうりずむ</t>
  </si>
  <si>
    <t>ようろっぱ</t>
  </si>
  <si>
    <t>そうす</t>
  </si>
  <si>
    <t>そうるふうど</t>
  </si>
  <si>
    <t>しみんぐるうぷ</t>
  </si>
  <si>
    <t>ぶうむ</t>
  </si>
  <si>
    <t>ほうむすてい</t>
  </si>
  <si>
    <t>ほすとふぁみりい</t>
  </si>
  <si>
    <t>へるしいな</t>
  </si>
  <si>
    <t>ようふうすうぷ</t>
  </si>
  <si>
    <t>きいわあど</t>
  </si>
  <si>
    <t>でんとうぎょうじ</t>
  </si>
  <si>
    <t>かろりい</t>
  </si>
  <si>
    <t>わんぷれいと</t>
  </si>
  <si>
    <t>おりいぶおいる</t>
  </si>
  <si>
    <t>とうすと</t>
  </si>
  <si>
    <t>につれて</t>
  </si>
  <si>
    <t>～につれて</t>
  </si>
  <si>
    <t>ねぱある</t>
  </si>
  <si>
    <t>いめいじ</t>
  </si>
  <si>
    <t>さあびす</t>
  </si>
  <si>
    <t>まんぞくがいく</t>
  </si>
  <si>
    <t>もっとう</t>
  </si>
  <si>
    <t>くれいむ</t>
  </si>
  <si>
    <t>ゆうしゅうな</t>
  </si>
  <si>
    <t>ふぁすとふうど</t>
  </si>
  <si>
    <t>ふぁみりいれすとらん</t>
  </si>
  <si>
    <t>as ~, in proportion to~</t>
  </si>
  <si>
    <t>national food</t>
  </si>
  <si>
    <t>the present</t>
  </si>
  <si>
    <t>root</t>
  </si>
  <si>
    <t>to fill</t>
  </si>
  <si>
    <t>udon noodles</t>
  </si>
  <si>
    <t>dine-in bar</t>
  </si>
  <si>
    <t>high-class</t>
  </si>
  <si>
    <t>extravagant</t>
  </si>
  <si>
    <t>stewed dish</t>
  </si>
  <si>
    <t>meat brought in courses</t>
  </si>
  <si>
    <t>Japanized Western Dishes</t>
  </si>
  <si>
    <t>civilization and enlightenment</t>
  </si>
  <si>
    <t xml:space="preserve">Westerization </t>
  </si>
  <si>
    <t>dietary habits</t>
  </si>
  <si>
    <t>beef stew/sukiyaki</t>
  </si>
  <si>
    <t>hot pot</t>
  </si>
  <si>
    <t>to adapt</t>
  </si>
  <si>
    <t>early years</t>
  </si>
  <si>
    <t>guide</t>
  </si>
  <si>
    <t>closing years</t>
  </si>
  <si>
    <t>spaghetti</t>
  </si>
  <si>
    <t>Ando Momofuku (name of a person)</t>
  </si>
  <si>
    <t>people involved in ~</t>
  </si>
  <si>
    <t>to involve</t>
  </si>
  <si>
    <t>ingredient</t>
  </si>
  <si>
    <t>characteristic of</t>
  </si>
  <si>
    <t>in</t>
  </si>
  <si>
    <t xml:space="preserve">もっつぁれらちいずいり </t>
  </si>
  <si>
    <t>with mozzarella cheese</t>
  </si>
  <si>
    <t>flavor</t>
  </si>
  <si>
    <t>uncomfortable feeling</t>
  </si>
  <si>
    <t>to allow</t>
  </si>
  <si>
    <t>ultimately</t>
  </si>
  <si>
    <t>to devise</t>
  </si>
  <si>
    <t>one's native country</t>
  </si>
  <si>
    <t>impetus</t>
  </si>
  <si>
    <t>Japanophile</t>
  </si>
  <si>
    <t>to object</t>
  </si>
  <si>
    <t>eating habits</t>
  </si>
  <si>
    <t>to overflow</t>
  </si>
  <si>
    <t>a type of hot pot</t>
  </si>
  <si>
    <t>to profess one's feelings (to)</t>
  </si>
  <si>
    <t>desperately</t>
  </si>
  <si>
    <t>to attempt</t>
  </si>
  <si>
    <t>video streaming website</t>
  </si>
  <si>
    <t>にんげん</t>
  </si>
  <si>
    <t>restaurant owner</t>
  </si>
  <si>
    <t>fellow</t>
  </si>
  <si>
    <t>stripper</t>
  </si>
  <si>
    <t>occupation</t>
  </si>
  <si>
    <t>comfortable</t>
  </si>
  <si>
    <t>place of belonging</t>
  </si>
  <si>
    <t>based on a comic book</t>
  </si>
  <si>
    <t>to savor</t>
  </si>
  <si>
    <t>relationship</t>
  </si>
  <si>
    <t>stubborn</t>
  </si>
  <si>
    <t>policy</t>
  </si>
  <si>
    <t>to portray</t>
  </si>
  <si>
    <t>housework</t>
  </si>
  <si>
    <t>taste of mom's cooking</t>
  </si>
  <si>
    <t>take for granted</t>
  </si>
  <si>
    <t>ニ人暮らし</t>
  </si>
  <si>
    <t>ふたりぐらし</t>
  </si>
  <si>
    <t>living together (of two people)</t>
  </si>
  <si>
    <t>fluffy</t>
  </si>
  <si>
    <t>simple, unsophisticated</t>
  </si>
  <si>
    <t>to pass down</t>
  </si>
  <si>
    <t>hearty</t>
  </si>
  <si>
    <t>time and effort</t>
  </si>
  <si>
    <t>masculine</t>
  </si>
  <si>
    <t>sex</t>
  </si>
  <si>
    <t>on one's own</t>
  </si>
  <si>
    <t>privately-funded surveys</t>
  </si>
  <si>
    <t>ten percent</t>
  </si>
  <si>
    <t>both for and against</t>
  </si>
  <si>
    <t>tempura bowl</t>
  </si>
  <si>
    <t>white smock</t>
  </si>
  <si>
    <t>efficiently</t>
  </si>
  <si>
    <t>a little extra</t>
  </si>
  <si>
    <t>to return</t>
  </si>
  <si>
    <t>to direct</t>
  </si>
  <si>
    <t>counter for place</t>
  </si>
  <si>
    <t>~decade</t>
  </si>
  <si>
    <t>spread of infection</t>
  </si>
  <si>
    <t>single-parent family</t>
  </si>
  <si>
    <t>just</t>
  </si>
  <si>
    <t>elderly person</t>
  </si>
  <si>
    <t>to fade</t>
  </si>
  <si>
    <t>SEC3</t>
  </si>
  <si>
    <t>25</t>
  </si>
  <si>
    <t>人々　</t>
  </si>
  <si>
    <t>to develop</t>
  </si>
  <si>
    <t>to break down</t>
  </si>
  <si>
    <t>fat content</t>
  </si>
  <si>
    <t>umami (the taste of amino acids and nucleotides)</t>
  </si>
  <si>
    <t>a lot</t>
  </si>
  <si>
    <t>tofu</t>
  </si>
  <si>
    <t>to take in</t>
  </si>
  <si>
    <t>mock food</t>
  </si>
  <si>
    <t>ascetic training</t>
  </si>
  <si>
    <t>vegetarian food</t>
  </si>
  <si>
    <t>the West</t>
  </si>
  <si>
    <t>the internet</t>
  </si>
  <si>
    <t>food tech</t>
  </si>
  <si>
    <t>nutrient</t>
  </si>
  <si>
    <t>maintenance</t>
  </si>
  <si>
    <t>additive</t>
  </si>
  <si>
    <t>recombination</t>
  </si>
  <si>
    <t>store</t>
  </si>
  <si>
    <t>strategy</t>
  </si>
  <si>
    <t>to discout</t>
  </si>
  <si>
    <t>restaurant</t>
  </si>
  <si>
    <t>to combine</t>
  </si>
  <si>
    <t>to promote</t>
  </si>
  <si>
    <t>example</t>
  </si>
  <si>
    <t>Future Eatery</t>
  </si>
  <si>
    <t>定食屋</t>
  </si>
  <si>
    <t>ていしょくや</t>
  </si>
  <si>
    <t>diner</t>
  </si>
  <si>
    <t>free of cost</t>
  </si>
  <si>
    <t>to post</t>
  </si>
  <si>
    <t>restriction</t>
  </si>
  <si>
    <t>mixed-profit business model</t>
  </si>
  <si>
    <t>personnel</t>
  </si>
  <si>
    <t>education site</t>
  </si>
  <si>
    <t>ぷろじぇくとがた</t>
  </si>
  <si>
    <t>変化する</t>
  </si>
  <si>
    <t>代表する</t>
  </si>
  <si>
    <t>だいひょうする</t>
  </si>
  <si>
    <t>体調</t>
  </si>
  <si>
    <t>さい</t>
    <phoneticPr fontId="2"/>
  </si>
  <si>
    <t>はつばいする</t>
    <phoneticPr fontId="3"/>
  </si>
  <si>
    <t>Words</t>
    <phoneticPr fontId="2" type="Hiragana"/>
  </si>
  <si>
    <t>how to read</t>
    <rPh sb="0" eb="1">
      <t xml:space="preserve">ヨミ </t>
    </rPh>
    <phoneticPr fontId="2"/>
  </si>
  <si>
    <t>English translation</t>
    <rPh sb="0" eb="2">
      <t xml:space="preserve">エイヤク </t>
    </rPh>
    <phoneticPr fontId="2"/>
  </si>
  <si>
    <t>洋風コンソメスープ</t>
    <rPh sb="0" eb="2">
      <t xml:space="preserve">ようふう </t>
    </rPh>
    <phoneticPr fontId="2" type="Hiragana"/>
  </si>
  <si>
    <t xml:space="preserve">Western-style soup
(type of clear soup) </t>
    <phoneticPr fontId="2"/>
  </si>
  <si>
    <t>intangible cultural heritage</t>
  </si>
  <si>
    <t>無形文化遺産</t>
    <rPh sb="0" eb="2">
      <t xml:space="preserve">むけい </t>
    </rPh>
    <rPh sb="2" eb="4">
      <t xml:space="preserve">ぶんか </t>
    </rPh>
    <rPh sb="4" eb="6">
      <t xml:space="preserve">いさん </t>
    </rPh>
    <phoneticPr fontId="2" type="Hiragana"/>
  </si>
  <si>
    <t>line</t>
    <rPh sb="0" eb="2">
      <t xml:space="preserve">イチ </t>
    </rPh>
    <phoneticPr fontId="2"/>
  </si>
  <si>
    <r>
      <t>だいにじせかいたい</t>
    </r>
    <r>
      <rPr>
        <sz val="11"/>
        <color theme="1"/>
        <rFont val="Times New Roman"/>
        <family val="1"/>
      </rPr>
      <t>せん</t>
    </r>
    <phoneticPr fontId="2"/>
  </si>
  <si>
    <t>静岡県</t>
    <rPh sb="0" eb="2">
      <t xml:space="preserve">しずおか </t>
    </rPh>
    <rPh sb="2" eb="3">
      <t xml:space="preserve">けん </t>
    </rPh>
    <phoneticPr fontId="2" type="Hiragana"/>
  </si>
  <si>
    <t>Shizuoka prefecture</t>
  </si>
  <si>
    <t>立ち飲み</t>
    <rPh sb="0" eb="1">
      <t xml:space="preserve">タチノミ </t>
    </rPh>
    <phoneticPr fontId="2"/>
  </si>
  <si>
    <t>たちのみ</t>
    <phoneticPr fontId="2"/>
  </si>
  <si>
    <t>drinking while standing</t>
  </si>
  <si>
    <t>おふくろの味</t>
    <rPh sb="5" eb="6">
      <t xml:space="preserve">アジ </t>
    </rPh>
    <phoneticPr fontId="2"/>
  </si>
  <si>
    <t>taste of mom's cooking</t>
    <phoneticPr fontId="2"/>
  </si>
  <si>
    <t>1st place</t>
  </si>
  <si>
    <t>だいいちい</t>
    <phoneticPr fontId="2"/>
  </si>
  <si>
    <t>たんぱく質／タンパク質</t>
    <rPh sb="4" eb="5">
      <t xml:space="preserve">しつ </t>
    </rPh>
    <phoneticPr fontId="3" type="Hiragana"/>
  </si>
  <si>
    <t xml:space="preserve">たいおう </t>
    <phoneticPr fontId="2"/>
  </si>
  <si>
    <t>work</t>
  </si>
  <si>
    <t>千代田区一ツ橋</t>
    <rPh sb="0" eb="3">
      <t xml:space="preserve">ちよだ </t>
    </rPh>
    <rPh sb="3" eb="4">
      <t xml:space="preserve">く </t>
    </rPh>
    <phoneticPr fontId="3" type="Hiragana"/>
  </si>
  <si>
    <t>Hitotsubashi, Chiyoda-ku</t>
  </si>
  <si>
    <t>ちよだくひとつばし</t>
    <phoneticPr fontId="2"/>
  </si>
  <si>
    <t>title of anime series</t>
  </si>
  <si>
    <t>title of drama series</t>
  </si>
  <si>
    <t>title of documentary film</t>
  </si>
  <si>
    <t>title of animated film</t>
  </si>
  <si>
    <t>sizzling sound</t>
  </si>
  <si>
    <t>the first</t>
  </si>
  <si>
    <t>handling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</si>
</sst>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 (本文)"/>
      <family val="3"/>
      <charset val="128"/>
    </font>
    <font>
      <sz val="11"/>
      <color theme="1"/>
      <name val="游ゴシック (本文)"/>
      <family val="3"/>
      <charset val="128"/>
    </font>
    <font>
      <sz val="11"/>
      <color rgb="FFFF0000"/>
      <name val="游ゴシック (本文)"/>
      <family val="3"/>
      <charset val="128"/>
    </font>
    <font>
      <sz val="11"/>
      <color theme="1"/>
      <name val="游ゴシック"/>
      <family val="3"/>
    </font>
    <font>
      <sz val="11"/>
      <color rgb="FFFF0000"/>
      <name val="游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4D5156"/>
      <name val="Times New Roman"/>
      <family val="1"/>
    </font>
    <font>
      <sz val="11"/>
      <color rgb="FF4D5156"/>
      <name val="Times New Roman"/>
      <family val="1"/>
    </font>
    <font>
      <sz val="12"/>
      <color rgb="FF4D5156"/>
      <name val="Arial"/>
      <family val="2"/>
    </font>
    <font>
      <sz val="11"/>
      <color rgb="FF000000"/>
      <name val="游ゴシック"/>
      <family val="3"/>
      <charset val="128"/>
    </font>
    <font>
      <sz val="11"/>
      <color rgb="FFFF0000"/>
      <name val="Times New Roman"/>
      <family val="1"/>
    </font>
    <font>
      <sz val="12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</font>
    <font>
      <sz val="11"/>
      <name val="游ゴシック (本文)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游ゴシック (本文)"/>
      <family val="3"/>
      <charset val="128"/>
    </font>
    <font>
      <sz val="12"/>
      <color theme="1"/>
      <name val="游ゴシック (本文)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游ゴシック"/>
      <family val="3"/>
    </font>
    <font>
      <sz val="12"/>
      <name val="游ゴシック (本文)"/>
      <family val="3"/>
      <charset val="128"/>
    </font>
    <font>
      <sz val="12"/>
      <name val="游ゴシック"/>
      <family val="3"/>
      <charset val="128"/>
    </font>
    <font>
      <sz val="12"/>
      <color theme="1"/>
      <name val="Times"/>
      <family val="1"/>
    </font>
    <font>
      <b/>
      <sz val="12"/>
      <color theme="1"/>
      <name val="Calibri"/>
      <family val="2"/>
    </font>
    <font>
      <sz val="12"/>
      <color theme="1"/>
      <name val="游ゴシック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49" fontId="5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>
      <alignment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0" fontId="35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D92A-DA41-934C-94D7-0123946570BA}">
  <dimension ref="A1:H156"/>
  <sheetViews>
    <sheetView zoomScale="130" zoomScaleNormal="130" workbookViewId="0">
      <pane ySplit="1" topLeftCell="A124" activePane="bottomLeft" state="frozen"/>
      <selection pane="bottomLeft" sqref="A1:F156"/>
    </sheetView>
  </sheetViews>
  <sheetFormatPr baseColWidth="10" defaultColWidth="11.140625" defaultRowHeight="20"/>
  <cols>
    <col min="1" max="1" width="6.28515625" style="100" customWidth="1"/>
    <col min="2" max="2" width="7" style="8" customWidth="1"/>
    <col min="3" max="3" width="6.140625" style="8" customWidth="1"/>
    <col min="4" max="5" width="20.7109375" style="2" customWidth="1"/>
    <col min="6" max="6" width="20.7109375" style="1" customWidth="1"/>
    <col min="7" max="16384" width="11.140625" style="2"/>
  </cols>
  <sheetData>
    <row r="1" spans="1:6" s="10" customFormat="1" ht="16">
      <c r="A1" s="11" t="s">
        <v>0</v>
      </c>
      <c r="B1" s="11" t="s">
        <v>1</v>
      </c>
      <c r="C1" s="12" t="s">
        <v>3747</v>
      </c>
      <c r="D1" s="11" t="s">
        <v>3740</v>
      </c>
      <c r="E1" s="11" t="s">
        <v>3741</v>
      </c>
      <c r="F1" s="11" t="s">
        <v>3742</v>
      </c>
    </row>
    <row r="2" spans="1:6">
      <c r="A2" s="97" t="s">
        <v>2</v>
      </c>
      <c r="B2" s="14"/>
      <c r="C2" s="15" t="s">
        <v>3</v>
      </c>
      <c r="D2" s="16" t="s">
        <v>4</v>
      </c>
      <c r="E2" s="16" t="str">
        <f t="shared" ref="E2:E7" si="0">PHONETIC(D2)</f>
        <v xml:space="preserve">わしょく </v>
      </c>
      <c r="F2" s="17" t="s">
        <v>700</v>
      </c>
    </row>
    <row r="3" spans="1:6">
      <c r="A3" s="98"/>
      <c r="B3" s="13" t="s">
        <v>5</v>
      </c>
      <c r="C3" s="18" t="s">
        <v>6</v>
      </c>
      <c r="D3" s="16" t="s">
        <v>7</v>
      </c>
      <c r="E3" s="16" t="str">
        <f t="shared" si="0"/>
        <v xml:space="preserve">ちいき </v>
      </c>
      <c r="F3" s="19" t="str">
        <f ca="1">IFERROR(__xludf.DUMMYFUNCTION("GOOGLETRANSLATE(E310, ""ja"",""en"")"),"area")</f>
        <v>area</v>
      </c>
    </row>
    <row r="4" spans="1:6">
      <c r="A4" s="98"/>
      <c r="B4" s="13" t="s">
        <v>8</v>
      </c>
      <c r="C4" s="18" t="s">
        <v>6</v>
      </c>
      <c r="D4" s="16" t="s">
        <v>9</v>
      </c>
      <c r="E4" s="16" t="str">
        <f t="shared" si="0"/>
        <v xml:space="preserve">しゅしょく </v>
      </c>
      <c r="F4" s="19" t="str">
        <f ca="1">IFERROR(__xludf.DUMMYFUNCTION("GOOGLETRANSLATE(E38, ""ja"",""en"")"),"staple food")</f>
        <v>staple food</v>
      </c>
    </row>
    <row r="5" spans="1:6">
      <c r="A5" s="98"/>
      <c r="B5" s="13" t="s">
        <v>8</v>
      </c>
      <c r="C5" s="18" t="s">
        <v>6</v>
      </c>
      <c r="D5" s="16" t="s">
        <v>10</v>
      </c>
      <c r="E5" s="16" t="str">
        <f t="shared" si="0"/>
        <v xml:space="preserve">れい </v>
      </c>
      <c r="F5" s="19" t="str">
        <f ca="1">IFERROR(__xludf.DUMMYFUNCTION("GOOGLETRANSLATE(E297, ""ja"",""en"")"),"example")</f>
        <v>example</v>
      </c>
    </row>
    <row r="6" spans="1:6">
      <c r="A6" s="98"/>
      <c r="B6" s="13" t="s">
        <v>8</v>
      </c>
      <c r="C6" s="18" t="s">
        <v>6</v>
      </c>
      <c r="D6" s="20" t="s">
        <v>558</v>
      </c>
      <c r="E6" s="16" t="str">
        <f t="shared" si="0"/>
        <v xml:space="preserve">めんるい </v>
      </c>
      <c r="F6" s="17" t="s">
        <v>701</v>
      </c>
    </row>
    <row r="7" spans="1:6" ht="27" customHeight="1">
      <c r="A7" s="98"/>
      <c r="B7" s="13" t="s">
        <v>8</v>
      </c>
      <c r="C7" s="18" t="s">
        <v>6</v>
      </c>
      <c r="D7" s="20" t="s">
        <v>11</v>
      </c>
      <c r="E7" s="16" t="str">
        <f t="shared" si="0"/>
        <v xml:space="preserve">いちじゅうさんさい </v>
      </c>
      <c r="F7" s="17" t="s">
        <v>702</v>
      </c>
    </row>
    <row r="8" spans="1:6">
      <c r="A8" s="98"/>
      <c r="B8" s="13" t="s">
        <v>8</v>
      </c>
      <c r="C8" s="18" t="s">
        <v>6</v>
      </c>
      <c r="D8" s="16" t="s">
        <v>712</v>
      </c>
      <c r="E8" s="16" t="s">
        <v>713</v>
      </c>
      <c r="F8" s="17" t="s">
        <v>703</v>
      </c>
    </row>
    <row r="9" spans="1:6">
      <c r="A9" s="98"/>
      <c r="B9" s="13" t="s">
        <v>8</v>
      </c>
      <c r="C9" s="18" t="s">
        <v>12</v>
      </c>
      <c r="D9" s="21" t="s">
        <v>13</v>
      </c>
      <c r="E9" s="16" t="s">
        <v>14</v>
      </c>
      <c r="F9" s="17" t="s">
        <v>700</v>
      </c>
    </row>
    <row r="10" spans="1:6">
      <c r="A10" s="98"/>
      <c r="B10" s="13" t="s">
        <v>8</v>
      </c>
      <c r="C10" s="18" t="s">
        <v>12</v>
      </c>
      <c r="D10" s="21" t="s">
        <v>15</v>
      </c>
      <c r="E10" s="16" t="s">
        <v>3585</v>
      </c>
      <c r="F10" s="17" t="str">
        <f ca="1">IFERROR(__xludf.DUMMYFUNCTION("GOOGLETRANSLATE(E5, ""ja"",""en"")"),"boom")</f>
        <v>boom</v>
      </c>
    </row>
    <row r="11" spans="1:6">
      <c r="A11" s="98"/>
      <c r="B11" s="13" t="s">
        <v>8</v>
      </c>
      <c r="C11" s="18" t="s">
        <v>16</v>
      </c>
      <c r="D11" s="21" t="s">
        <v>17</v>
      </c>
      <c r="E11" s="16" t="str">
        <f>PHONETIC(D11)</f>
        <v xml:space="preserve">かいがい </v>
      </c>
      <c r="F11" s="17" t="str">
        <f ca="1">IFERROR(__xludf.DUMMYFUNCTION("GOOGLETRANSLATE(E46, ""ja"",""en"")"),"overseas")</f>
        <v>overseas</v>
      </c>
    </row>
    <row r="12" spans="1:6">
      <c r="A12" s="98"/>
      <c r="B12" s="13" t="s">
        <v>8</v>
      </c>
      <c r="C12" s="18" t="s">
        <v>18</v>
      </c>
      <c r="D12" s="22" t="s">
        <v>3597</v>
      </c>
      <c r="E12" s="16" t="s">
        <v>3596</v>
      </c>
      <c r="F12" s="19" t="s">
        <v>3607</v>
      </c>
    </row>
    <row r="13" spans="1:6">
      <c r="A13" s="98"/>
      <c r="B13" s="13" t="s">
        <v>8</v>
      </c>
      <c r="C13" s="18" t="s">
        <v>18</v>
      </c>
      <c r="D13" s="23" t="s">
        <v>19</v>
      </c>
      <c r="E13" s="20" t="s">
        <v>20</v>
      </c>
      <c r="F13" s="17" t="str">
        <f ca="1">IFERROR(__xludf.DUMMYFUNCTION("GOOGLETRANSLATE(E47, ""ja"",""en"")"),"various")</f>
        <v>various</v>
      </c>
    </row>
    <row r="14" spans="1:6">
      <c r="A14" s="98"/>
      <c r="B14" s="13" t="s">
        <v>8</v>
      </c>
      <c r="C14" s="18" t="s">
        <v>21</v>
      </c>
      <c r="D14" s="22" t="s">
        <v>22</v>
      </c>
      <c r="E14" s="16" t="s">
        <v>3507</v>
      </c>
      <c r="F14" s="17" t="str">
        <f ca="1">IFERROR(__xludf.DUMMYFUNCTION("GOOGLETRANSLATE(E10, ""ja"",""en"")"),"New York")</f>
        <v>New York</v>
      </c>
    </row>
    <row r="15" spans="1:6">
      <c r="A15" s="98"/>
      <c r="B15" s="13" t="s">
        <v>8</v>
      </c>
      <c r="C15" s="18" t="s">
        <v>23</v>
      </c>
      <c r="D15" s="22" t="s">
        <v>24</v>
      </c>
      <c r="E15" s="20" t="s">
        <v>25</v>
      </c>
      <c r="F15" s="17" t="s">
        <v>704</v>
      </c>
    </row>
    <row r="16" spans="1:6">
      <c r="A16" s="98"/>
      <c r="B16" s="13" t="s">
        <v>8</v>
      </c>
      <c r="C16" s="18" t="s">
        <v>23</v>
      </c>
      <c r="D16" s="22" t="s">
        <v>26</v>
      </c>
      <c r="E16" s="16" t="s">
        <v>3505</v>
      </c>
      <c r="F16" s="17" t="str">
        <f ca="1">IFERROR(__xludf.DUMMYFUNCTION("GOOGLETRANSLATE(E12, ""ja"",""en"")"),"ramen")</f>
        <v>ramen</v>
      </c>
    </row>
    <row r="17" spans="1:6">
      <c r="A17" s="98"/>
      <c r="B17" s="13" t="s">
        <v>8</v>
      </c>
      <c r="C17" s="18" t="s">
        <v>27</v>
      </c>
      <c r="D17" s="22" t="s">
        <v>28</v>
      </c>
      <c r="E17" s="16" t="s">
        <v>29</v>
      </c>
      <c r="F17" s="17" t="str">
        <f ca="1">IFERROR(__xludf.DUMMYFUNCTION("GOOGLETRANSLATE(E13, ""ja"",""en"")"),"preference")</f>
        <v>preference</v>
      </c>
    </row>
    <row r="18" spans="1:6">
      <c r="A18" s="98"/>
      <c r="B18" s="13" t="s">
        <v>8</v>
      </c>
      <c r="C18" s="18" t="s">
        <v>30</v>
      </c>
      <c r="D18" s="23" t="s">
        <v>1387</v>
      </c>
      <c r="E18" s="20" t="s">
        <v>1388</v>
      </c>
      <c r="F18" s="19" t="s">
        <v>1386</v>
      </c>
    </row>
    <row r="19" spans="1:6">
      <c r="A19" s="98"/>
      <c r="B19" s="13" t="s">
        <v>8</v>
      </c>
      <c r="C19" s="18" t="s">
        <v>30</v>
      </c>
      <c r="D19" s="22" t="s">
        <v>31</v>
      </c>
      <c r="E19" s="24" t="s">
        <v>1389</v>
      </c>
      <c r="F19" s="19" t="s">
        <v>1412</v>
      </c>
    </row>
    <row r="20" spans="1:6">
      <c r="A20" s="98"/>
      <c r="B20" s="13" t="s">
        <v>8</v>
      </c>
      <c r="C20" s="18" t="s">
        <v>30</v>
      </c>
      <c r="D20" s="22" t="s">
        <v>32</v>
      </c>
      <c r="E20" s="16" t="s">
        <v>33</v>
      </c>
      <c r="F20" s="19" t="s">
        <v>705</v>
      </c>
    </row>
    <row r="21" spans="1:6">
      <c r="A21" s="98"/>
      <c r="B21" s="13" t="s">
        <v>8</v>
      </c>
      <c r="C21" s="18" t="s">
        <v>34</v>
      </c>
      <c r="D21" s="16" t="s">
        <v>35</v>
      </c>
      <c r="E21" s="16" t="s">
        <v>3586</v>
      </c>
      <c r="F21" s="19" t="s">
        <v>1390</v>
      </c>
    </row>
    <row r="22" spans="1:6">
      <c r="A22" s="98"/>
      <c r="B22" s="13" t="s">
        <v>8</v>
      </c>
      <c r="C22" s="18" t="s">
        <v>36</v>
      </c>
      <c r="D22" s="16" t="s">
        <v>37</v>
      </c>
      <c r="E22" s="16" t="s">
        <v>3587</v>
      </c>
      <c r="F22" s="19" t="str">
        <f ca="1">IFERROR(__xludf.DUMMYFUNCTION("GOOGLETRANSLATE(E20, ""ja"",""en"")"),"host family")</f>
        <v>host family</v>
      </c>
    </row>
    <row r="23" spans="1:6">
      <c r="A23" s="98"/>
      <c r="B23" s="13" t="s">
        <v>8</v>
      </c>
      <c r="C23" s="18" t="s">
        <v>36</v>
      </c>
      <c r="D23" s="22" t="s">
        <v>38</v>
      </c>
      <c r="E23" s="16" t="str">
        <f t="shared" ref="E23:E49" si="1">PHONETIC(D23)</f>
        <v xml:space="preserve">きほん </v>
      </c>
      <c r="F23" s="19" t="s">
        <v>1391</v>
      </c>
    </row>
    <row r="24" spans="1:6">
      <c r="A24" s="98"/>
      <c r="B24" s="13" t="s">
        <v>8</v>
      </c>
      <c r="C24" s="18" t="s">
        <v>39</v>
      </c>
      <c r="D24" s="22" t="s">
        <v>40</v>
      </c>
      <c r="E24" s="16" t="str">
        <f t="shared" si="1"/>
        <v xml:space="preserve">しるもの </v>
      </c>
      <c r="F24" s="17" t="s">
        <v>1444</v>
      </c>
    </row>
    <row r="25" spans="1:6">
      <c r="A25" s="98"/>
      <c r="B25" s="13" t="s">
        <v>8</v>
      </c>
      <c r="C25" s="18" t="s">
        <v>39</v>
      </c>
      <c r="D25" s="22" t="s">
        <v>41</v>
      </c>
      <c r="E25" s="16" t="str">
        <f t="shared" si="1"/>
        <v>おかず</v>
      </c>
      <c r="F25" s="19" t="s">
        <v>683</v>
      </c>
    </row>
    <row r="26" spans="1:6">
      <c r="A26" s="98"/>
      <c r="B26" s="13" t="s">
        <v>8</v>
      </c>
      <c r="C26" s="18" t="s">
        <v>39</v>
      </c>
      <c r="D26" s="22" t="s">
        <v>714</v>
      </c>
      <c r="E26" s="16" t="s">
        <v>715</v>
      </c>
      <c r="F26" s="19" t="str">
        <f ca="1">IFERROR(__xludf.DUMMYFUNCTION("GOOGLETRANSLATE(E44, ""ja"",""en"")"),"to combine")</f>
        <v>to combine</v>
      </c>
    </row>
    <row r="27" spans="1:6">
      <c r="A27" s="98"/>
      <c r="B27" s="13" t="s">
        <v>8</v>
      </c>
      <c r="C27" s="18" t="s">
        <v>39</v>
      </c>
      <c r="D27" s="22" t="s">
        <v>42</v>
      </c>
      <c r="E27" s="16" t="str">
        <f t="shared" si="1"/>
        <v xml:space="preserve">こんだて </v>
      </c>
      <c r="F27" s="19" t="str">
        <f ca="1">IFERROR(__xludf.DUMMYFUNCTION("GOOGLETRANSLATE(E54, ""ja"",""en"")"),"menu")</f>
        <v>menu</v>
      </c>
    </row>
    <row r="28" spans="1:6">
      <c r="A28" s="98"/>
      <c r="B28" s="13" t="s">
        <v>8</v>
      </c>
      <c r="C28" s="18" t="s">
        <v>43</v>
      </c>
      <c r="D28" s="22" t="s">
        <v>44</v>
      </c>
      <c r="E28" s="16" t="str">
        <f t="shared" si="1"/>
        <v xml:space="preserve">しょくたく </v>
      </c>
      <c r="F28" s="19" t="s">
        <v>1392</v>
      </c>
    </row>
    <row r="29" spans="1:6">
      <c r="A29" s="98"/>
      <c r="B29" s="13" t="s">
        <v>8</v>
      </c>
      <c r="C29" s="18" t="s">
        <v>43</v>
      </c>
      <c r="D29" s="22" t="s">
        <v>45</v>
      </c>
      <c r="E29" s="16" t="s">
        <v>46</v>
      </c>
      <c r="F29" s="17" t="s">
        <v>706</v>
      </c>
    </row>
    <row r="30" spans="1:6">
      <c r="A30" s="98"/>
      <c r="B30" s="13" t="s">
        <v>8</v>
      </c>
      <c r="C30" s="18" t="s">
        <v>43</v>
      </c>
      <c r="D30" s="22" t="s">
        <v>47</v>
      </c>
      <c r="E30" s="16" t="str">
        <f t="shared" si="1"/>
        <v xml:space="preserve">とうふ </v>
      </c>
      <c r="F30" s="17" t="s">
        <v>707</v>
      </c>
    </row>
    <row r="31" spans="1:6">
      <c r="A31" s="98"/>
      <c r="B31" s="13" t="s">
        <v>8</v>
      </c>
      <c r="C31" s="18" t="s">
        <v>43</v>
      </c>
      <c r="D31" s="22" t="s">
        <v>48</v>
      </c>
      <c r="E31" s="16" t="str">
        <f t="shared" si="1"/>
        <v xml:space="preserve">にもの </v>
      </c>
      <c r="F31" s="19" t="s">
        <v>1393</v>
      </c>
    </row>
    <row r="32" spans="1:6">
      <c r="A32" s="98"/>
      <c r="B32" s="13" t="s">
        <v>8</v>
      </c>
      <c r="C32" s="18" t="s">
        <v>43</v>
      </c>
      <c r="D32" s="22" t="s">
        <v>716</v>
      </c>
      <c r="E32" s="16" t="s">
        <v>717</v>
      </c>
      <c r="F32" s="19" t="s">
        <v>1395</v>
      </c>
    </row>
    <row r="33" spans="1:6">
      <c r="A33" s="98"/>
      <c r="B33" s="13" t="s">
        <v>8</v>
      </c>
      <c r="C33" s="18" t="s">
        <v>49</v>
      </c>
      <c r="D33" s="22" t="s">
        <v>50</v>
      </c>
      <c r="E33" s="16" t="str">
        <f>PHONETIC(D33)</f>
        <v xml:space="preserve">そぼく </v>
      </c>
      <c r="F33" s="19" t="s">
        <v>1394</v>
      </c>
    </row>
    <row r="34" spans="1:6">
      <c r="A34" s="98"/>
      <c r="B34" s="13" t="s">
        <v>8</v>
      </c>
      <c r="C34" s="18" t="s">
        <v>49</v>
      </c>
      <c r="D34" s="22" t="s">
        <v>51</v>
      </c>
      <c r="E34" s="16" t="str">
        <f t="shared" si="1"/>
        <v xml:space="preserve">えいよう </v>
      </c>
      <c r="F34" s="19" t="str">
        <f ca="1">IFERROR(__xludf.DUMMYFUNCTION("GOOGLETRANSLATE(E58, ""ja"",""en"")"),"nutrition")</f>
        <v>nutrition</v>
      </c>
    </row>
    <row r="35" spans="1:6">
      <c r="A35" s="98"/>
      <c r="B35" s="13" t="s">
        <v>8</v>
      </c>
      <c r="C35" s="18" t="s">
        <v>49</v>
      </c>
      <c r="D35" s="22" t="s">
        <v>52</v>
      </c>
      <c r="E35" s="16" t="str">
        <f t="shared" si="1"/>
        <v>ばらんす</v>
      </c>
      <c r="F35" s="19" t="str">
        <f ca="1">IFERROR(__xludf.DUMMYFUNCTION("GOOGLETRANSLATE(E59, ""ja"",""en"")"),"balance")</f>
        <v>balance</v>
      </c>
    </row>
    <row r="36" spans="1:6">
      <c r="A36" s="98"/>
      <c r="B36" s="13" t="s">
        <v>8</v>
      </c>
      <c r="C36" s="18" t="s">
        <v>49</v>
      </c>
      <c r="D36" s="23" t="s">
        <v>53</v>
      </c>
      <c r="E36" s="16" t="s">
        <v>3588</v>
      </c>
      <c r="F36" s="19" t="s">
        <v>684</v>
      </c>
    </row>
    <row r="37" spans="1:6">
      <c r="A37" s="98"/>
      <c r="B37" s="13" t="s">
        <v>8</v>
      </c>
      <c r="C37" s="18" t="s">
        <v>54</v>
      </c>
      <c r="D37" s="23" t="s">
        <v>55</v>
      </c>
      <c r="E37" s="20" t="s">
        <v>56</v>
      </c>
      <c r="F37" s="19" t="s">
        <v>684</v>
      </c>
    </row>
    <row r="38" spans="1:6">
      <c r="A38" s="98"/>
      <c r="B38" s="13" t="s">
        <v>8</v>
      </c>
      <c r="C38" s="18" t="s">
        <v>54</v>
      </c>
      <c r="D38" s="22" t="s">
        <v>3737</v>
      </c>
      <c r="E38" s="16" t="str">
        <f>PHONETIC(D38)</f>
        <v>体調</v>
      </c>
      <c r="F38" s="19" t="s">
        <v>1413</v>
      </c>
    </row>
    <row r="39" spans="1:6">
      <c r="A39" s="98"/>
      <c r="B39" s="13" t="s">
        <v>8</v>
      </c>
      <c r="C39" s="18" t="s">
        <v>58</v>
      </c>
      <c r="D39" s="22" t="s">
        <v>57</v>
      </c>
      <c r="E39" s="16" t="str">
        <f t="shared" si="1"/>
        <v>より</v>
      </c>
      <c r="F39" s="19" t="s">
        <v>685</v>
      </c>
    </row>
    <row r="40" spans="1:6">
      <c r="A40" s="98"/>
      <c r="B40" s="13" t="s">
        <v>8</v>
      </c>
      <c r="C40" s="18" t="s">
        <v>58</v>
      </c>
      <c r="D40" s="22" t="s">
        <v>718</v>
      </c>
      <c r="E40" s="16" t="s">
        <v>718</v>
      </c>
      <c r="F40" s="19" t="s">
        <v>708</v>
      </c>
    </row>
    <row r="41" spans="1:6">
      <c r="A41" s="98"/>
      <c r="B41" s="13" t="s">
        <v>8</v>
      </c>
      <c r="C41" s="18" t="s">
        <v>60</v>
      </c>
      <c r="D41" s="22" t="s">
        <v>59</v>
      </c>
      <c r="E41" s="16" t="str">
        <f t="shared" si="1"/>
        <v xml:space="preserve">せだい </v>
      </c>
      <c r="F41" s="19" t="str">
        <f ca="1">IFERROR(__xludf.DUMMYFUNCTION("GOOGLETRANSLATE(E42, ""ja"",""en"")"),"generation")</f>
        <v>generation</v>
      </c>
    </row>
    <row r="42" spans="1:6">
      <c r="A42" s="98"/>
      <c r="B42" s="13" t="s">
        <v>8</v>
      </c>
      <c r="C42" s="18" t="s">
        <v>60</v>
      </c>
      <c r="D42" s="22" t="s">
        <v>61</v>
      </c>
      <c r="E42" s="16" t="str">
        <f t="shared" si="1"/>
        <v xml:space="preserve">〜とう </v>
      </c>
      <c r="F42" s="19" t="s">
        <v>1414</v>
      </c>
    </row>
    <row r="43" spans="1:6">
      <c r="A43" s="98"/>
      <c r="B43" s="13" t="s">
        <v>8</v>
      </c>
      <c r="C43" s="18" t="s">
        <v>60</v>
      </c>
      <c r="D43" s="22" t="s">
        <v>62</v>
      </c>
      <c r="E43" s="16" t="str">
        <f>PHONETIC(D43)</f>
        <v>けど</v>
      </c>
      <c r="F43" s="19" t="str">
        <f ca="1">IFERROR(__xludf.DUMMYFUNCTION("GOOGLETRANSLATE(E28, ""ja"",""en"")"),"but")</f>
        <v>but</v>
      </c>
    </row>
    <row r="44" spans="1:6">
      <c r="A44" s="98"/>
      <c r="B44" s="13" t="s">
        <v>8</v>
      </c>
      <c r="C44" s="18" t="s">
        <v>63</v>
      </c>
      <c r="D44" s="22" t="s">
        <v>64</v>
      </c>
      <c r="E44" s="16" t="str">
        <f t="shared" si="1"/>
        <v xml:space="preserve">ようしょく </v>
      </c>
      <c r="F44" s="19" t="s">
        <v>1415</v>
      </c>
    </row>
    <row r="45" spans="1:6">
      <c r="A45" s="98"/>
      <c r="B45" s="13" t="s">
        <v>8</v>
      </c>
      <c r="C45" s="18" t="s">
        <v>63</v>
      </c>
      <c r="D45" s="22" t="s">
        <v>65</v>
      </c>
      <c r="E45" s="16" t="str">
        <f t="shared" si="1"/>
        <v>ほう</v>
      </c>
      <c r="F45" s="17"/>
    </row>
    <row r="46" spans="1:6" s="6" customFormat="1" ht="30">
      <c r="A46" s="98"/>
      <c r="B46" s="14" t="s">
        <v>8</v>
      </c>
      <c r="C46" s="15" t="s">
        <v>66</v>
      </c>
      <c r="D46" s="25" t="s">
        <v>3743</v>
      </c>
      <c r="E46" s="26" t="s">
        <v>3589</v>
      </c>
      <c r="F46" s="27" t="s">
        <v>3744</v>
      </c>
    </row>
    <row r="47" spans="1:6">
      <c r="A47" s="98"/>
      <c r="B47" s="13" t="s">
        <v>8</v>
      </c>
      <c r="C47" s="18" t="s">
        <v>66</v>
      </c>
      <c r="D47" s="22" t="s">
        <v>67</v>
      </c>
      <c r="E47" s="16" t="str">
        <f t="shared" si="1"/>
        <v>ぽてと</v>
      </c>
      <c r="F47" s="19" t="str">
        <f ca="1">IFERROR(__xludf.DUMMYFUNCTION("GOOGLETRANSLATE(E32, ""ja"",""en"")"),"potato")</f>
        <v>potato</v>
      </c>
    </row>
    <row r="48" spans="1:6">
      <c r="A48" s="98"/>
      <c r="B48" s="13" t="s">
        <v>8</v>
      </c>
      <c r="C48" s="18" t="s">
        <v>66</v>
      </c>
      <c r="D48" s="22" t="s">
        <v>69</v>
      </c>
      <c r="E48" s="16" t="str">
        <f t="shared" si="1"/>
        <v xml:space="preserve">つけもの </v>
      </c>
      <c r="F48" s="19" t="s">
        <v>1378</v>
      </c>
    </row>
    <row r="49" spans="1:6">
      <c r="A49" s="98"/>
      <c r="B49" s="13" t="s">
        <v>8</v>
      </c>
      <c r="C49" s="18" t="s">
        <v>66</v>
      </c>
      <c r="D49" s="23" t="s">
        <v>70</v>
      </c>
      <c r="E49" s="16" t="str">
        <f t="shared" si="1"/>
        <v>はいぶりっど（な）</v>
      </c>
      <c r="F49" s="19" t="str">
        <f ca="1">IFERROR(__xludf.DUMMYFUNCTION("GOOGLETRANSLATE(E35, ""ja"",""en"")"),"hybrid")</f>
        <v>hybrid</v>
      </c>
    </row>
    <row r="50" spans="1:6">
      <c r="A50" s="98"/>
      <c r="B50" s="13" t="s">
        <v>8</v>
      </c>
      <c r="C50" s="18" t="s">
        <v>68</v>
      </c>
      <c r="D50" s="23" t="s">
        <v>71</v>
      </c>
      <c r="E50" s="20" t="s">
        <v>72</v>
      </c>
      <c r="F50" s="19" t="s">
        <v>709</v>
      </c>
    </row>
    <row r="51" spans="1:6">
      <c r="A51" s="98"/>
      <c r="B51" s="13" t="s">
        <v>8</v>
      </c>
      <c r="C51" s="18" t="s">
        <v>73</v>
      </c>
      <c r="D51" s="23" t="s">
        <v>74</v>
      </c>
      <c r="E51" s="20" t="s">
        <v>75</v>
      </c>
      <c r="F51" s="19" t="s">
        <v>710</v>
      </c>
    </row>
    <row r="52" spans="1:6">
      <c r="A52" s="98"/>
      <c r="B52" s="13" t="s">
        <v>8</v>
      </c>
      <c r="C52" s="18" t="s">
        <v>186</v>
      </c>
      <c r="D52" s="22" t="s">
        <v>719</v>
      </c>
      <c r="E52" s="16" t="s">
        <v>720</v>
      </c>
      <c r="F52" s="19" t="s">
        <v>1445</v>
      </c>
    </row>
    <row r="53" spans="1:6">
      <c r="A53" s="98"/>
      <c r="B53" s="13" t="s">
        <v>77</v>
      </c>
      <c r="C53" s="15" t="s">
        <v>3</v>
      </c>
      <c r="D53" s="23" t="s">
        <v>78</v>
      </c>
      <c r="E53" s="20" t="s">
        <v>79</v>
      </c>
      <c r="F53" s="19" t="s">
        <v>1416</v>
      </c>
    </row>
    <row r="54" spans="1:6">
      <c r="A54" s="98"/>
      <c r="B54" s="13" t="s">
        <v>77</v>
      </c>
      <c r="C54" s="15" t="s">
        <v>3</v>
      </c>
      <c r="D54" s="23" t="s">
        <v>80</v>
      </c>
      <c r="E54" s="20" t="s">
        <v>81</v>
      </c>
      <c r="F54" s="19" t="s">
        <v>711</v>
      </c>
    </row>
    <row r="55" spans="1:6">
      <c r="A55" s="98"/>
      <c r="B55" s="13" t="s">
        <v>77</v>
      </c>
      <c r="C55" s="15" t="s">
        <v>3</v>
      </c>
      <c r="D55" s="22" t="s">
        <v>82</v>
      </c>
      <c r="E55" s="16" t="str">
        <f>PHONETIC(D55)</f>
        <v xml:space="preserve">すがた </v>
      </c>
      <c r="F55" s="19" t="s">
        <v>686</v>
      </c>
    </row>
    <row r="56" spans="1:6">
      <c r="A56" s="98"/>
      <c r="B56" s="13" t="s">
        <v>77</v>
      </c>
      <c r="C56" s="15" t="s">
        <v>3</v>
      </c>
      <c r="D56" s="22" t="s">
        <v>721</v>
      </c>
      <c r="E56" s="16" t="s">
        <v>722</v>
      </c>
      <c r="F56" s="17" t="s">
        <v>727</v>
      </c>
    </row>
    <row r="57" spans="1:6">
      <c r="A57" s="98"/>
      <c r="B57" s="13" t="s">
        <v>83</v>
      </c>
      <c r="C57" s="18" t="s">
        <v>6</v>
      </c>
      <c r="D57" s="23" t="s">
        <v>84</v>
      </c>
      <c r="E57" s="16" t="str">
        <f>PHONETIC(D57)</f>
        <v>でんとうてき （な）</v>
      </c>
      <c r="F57" s="19" t="s">
        <v>687</v>
      </c>
    </row>
    <row r="58" spans="1:6">
      <c r="A58" s="98"/>
      <c r="B58" s="13" t="s">
        <v>83</v>
      </c>
      <c r="C58" s="18" t="s">
        <v>6</v>
      </c>
      <c r="D58" s="23" t="s">
        <v>85</v>
      </c>
      <c r="E58" s="20" t="s">
        <v>86</v>
      </c>
      <c r="F58" s="19" t="s">
        <v>728</v>
      </c>
    </row>
    <row r="59" spans="1:6">
      <c r="A59" s="98"/>
      <c r="B59" s="13" t="s">
        <v>83</v>
      </c>
      <c r="C59" s="18" t="s">
        <v>6</v>
      </c>
      <c r="D59" s="22" t="s">
        <v>87</v>
      </c>
      <c r="E59" s="16" t="str">
        <f>PHONETIC(D59)</f>
        <v xml:space="preserve">みりょく </v>
      </c>
      <c r="F59" s="19" t="str">
        <f ca="1">IFERROR(__xludf.DUMMYFUNCTION("GOOGLETRANSLATE(E126, ""ja"",""en"")"),"charm")</f>
        <v>charm</v>
      </c>
    </row>
    <row r="60" spans="1:6">
      <c r="A60" s="98"/>
      <c r="B60" s="13" t="s">
        <v>83</v>
      </c>
      <c r="C60" s="18" t="s">
        <v>6</v>
      </c>
      <c r="D60" s="22" t="s">
        <v>723</v>
      </c>
      <c r="E60" s="16" t="s">
        <v>724</v>
      </c>
      <c r="F60" s="17" t="s">
        <v>729</v>
      </c>
    </row>
    <row r="61" spans="1:6">
      <c r="A61" s="98"/>
      <c r="B61" s="13" t="s">
        <v>83</v>
      </c>
      <c r="C61" s="18" t="s">
        <v>6</v>
      </c>
      <c r="D61" s="22" t="s">
        <v>88</v>
      </c>
      <c r="E61" s="16" t="s">
        <v>3590</v>
      </c>
      <c r="F61" s="17" t="s">
        <v>730</v>
      </c>
    </row>
    <row r="62" spans="1:6" ht="30">
      <c r="A62" s="98"/>
      <c r="B62" s="13" t="s">
        <v>83</v>
      </c>
      <c r="C62" s="18" t="s">
        <v>6</v>
      </c>
      <c r="D62" s="23" t="s">
        <v>89</v>
      </c>
      <c r="E62" s="20" t="s">
        <v>90</v>
      </c>
      <c r="F62" s="17" t="s">
        <v>1417</v>
      </c>
    </row>
    <row r="63" spans="1:6">
      <c r="A63" s="98"/>
      <c r="B63" s="13" t="s">
        <v>83</v>
      </c>
      <c r="C63" s="18" t="s">
        <v>6</v>
      </c>
      <c r="D63" s="22" t="s">
        <v>91</v>
      </c>
      <c r="E63" s="16" t="str">
        <f>PHONETIC(D63)</f>
        <v xml:space="preserve">ことば </v>
      </c>
      <c r="F63" s="17" t="s">
        <v>731</v>
      </c>
    </row>
    <row r="64" spans="1:6">
      <c r="A64" s="98"/>
      <c r="B64" s="13" t="s">
        <v>83</v>
      </c>
      <c r="C64" s="18" t="s">
        <v>6</v>
      </c>
      <c r="D64" s="22" t="s">
        <v>712</v>
      </c>
      <c r="E64" s="16" t="s">
        <v>713</v>
      </c>
      <c r="F64" s="17" t="s">
        <v>703</v>
      </c>
    </row>
    <row r="65" spans="1:7">
      <c r="A65" s="98"/>
      <c r="B65" s="13" t="s">
        <v>83</v>
      </c>
      <c r="C65" s="18" t="s">
        <v>12</v>
      </c>
      <c r="D65" s="22" t="s">
        <v>92</v>
      </c>
      <c r="E65" s="16" t="s">
        <v>93</v>
      </c>
      <c r="F65" s="28" t="s">
        <v>732</v>
      </c>
    </row>
    <row r="66" spans="1:7" ht="30">
      <c r="A66" s="98"/>
      <c r="B66" s="14" t="s">
        <v>83</v>
      </c>
      <c r="C66" s="15" t="s">
        <v>12</v>
      </c>
      <c r="D66" s="16" t="s">
        <v>94</v>
      </c>
      <c r="E66" s="16" t="s">
        <v>95</v>
      </c>
      <c r="F66" s="27" t="str">
        <f ca="1">IFERROR(__xludf.DUMMYFUNCTION("GOOGLETRANSLATE(E69, ""ja"",""en"")"),"Ministry of Agriculture, Forestry and Fisheries")</f>
        <v>Ministry of Agriculture, Forestry and Fisheries</v>
      </c>
    </row>
    <row r="67" spans="1:7">
      <c r="A67" s="98"/>
      <c r="B67" s="13" t="s">
        <v>83</v>
      </c>
      <c r="C67" s="18" t="s">
        <v>18</v>
      </c>
      <c r="D67" s="23" t="s">
        <v>96</v>
      </c>
      <c r="E67" s="20" t="s">
        <v>3451</v>
      </c>
      <c r="F67" s="19" t="s">
        <v>684</v>
      </c>
    </row>
    <row r="68" spans="1:7">
      <c r="A68" s="98"/>
      <c r="B68" s="13" t="s">
        <v>83</v>
      </c>
      <c r="C68" s="18" t="s">
        <v>18</v>
      </c>
      <c r="D68" s="23" t="s">
        <v>97</v>
      </c>
      <c r="E68" s="20" t="s">
        <v>98</v>
      </c>
      <c r="F68" s="19" t="s">
        <v>1418</v>
      </c>
    </row>
    <row r="69" spans="1:7">
      <c r="A69" s="98"/>
      <c r="B69" s="13" t="s">
        <v>83</v>
      </c>
      <c r="C69" s="15" t="s">
        <v>21</v>
      </c>
      <c r="D69" s="23" t="s">
        <v>99</v>
      </c>
      <c r="E69" s="16" t="str">
        <f>PHONETIC(D69)</f>
        <v>たよう （な）</v>
      </c>
      <c r="F69" s="19" t="s">
        <v>688</v>
      </c>
    </row>
    <row r="70" spans="1:7">
      <c r="A70" s="98"/>
      <c r="B70" s="13" t="s">
        <v>83</v>
      </c>
      <c r="C70" s="15" t="s">
        <v>21</v>
      </c>
      <c r="D70" s="23" t="s">
        <v>100</v>
      </c>
      <c r="E70" s="16" t="str">
        <f>PHONETIC(D70)</f>
        <v>しんせん （な）</v>
      </c>
      <c r="F70" s="19" t="str">
        <f ca="1">IFERROR(__xludf.DUMMYFUNCTION("GOOGLETRANSLATE(E129, ""ja"",""en"")"),"fresh")</f>
        <v>fresh</v>
      </c>
    </row>
    <row r="71" spans="1:7">
      <c r="A71" s="98"/>
      <c r="B71" s="13" t="s">
        <v>83</v>
      </c>
      <c r="C71" s="15" t="s">
        <v>101</v>
      </c>
      <c r="D71" s="22" t="s">
        <v>102</v>
      </c>
      <c r="E71" s="16" t="str">
        <f>PHONETIC(D71)</f>
        <v xml:space="preserve">しょくざい </v>
      </c>
      <c r="F71" s="19" t="str">
        <f ca="1">IFERROR(__xludf.DUMMYFUNCTION("GOOGLETRANSLATE(E71, ""ja"",""en"")"),"ingredients")</f>
        <v>ingredients</v>
      </c>
    </row>
    <row r="72" spans="1:7">
      <c r="A72" s="98"/>
      <c r="B72" s="13" t="s">
        <v>83</v>
      </c>
      <c r="C72" s="15" t="s">
        <v>101</v>
      </c>
      <c r="D72" s="22" t="s">
        <v>725</v>
      </c>
      <c r="E72" s="16" t="s">
        <v>726</v>
      </c>
      <c r="F72" s="19" t="s">
        <v>689</v>
      </c>
    </row>
    <row r="73" spans="1:7">
      <c r="A73" s="98"/>
      <c r="B73" s="13" t="s">
        <v>83</v>
      </c>
      <c r="C73" s="15" t="s">
        <v>101</v>
      </c>
      <c r="D73" s="22" t="s">
        <v>103</v>
      </c>
      <c r="E73" s="16" t="str">
        <f>PHONETIC(D73)</f>
        <v xml:space="preserve">しょっき </v>
      </c>
      <c r="F73" s="19" t="s">
        <v>690</v>
      </c>
    </row>
    <row r="74" spans="1:7">
      <c r="A74" s="98"/>
      <c r="B74" s="13" t="s">
        <v>83</v>
      </c>
      <c r="C74" s="15" t="s">
        <v>23</v>
      </c>
      <c r="D74" s="23" t="s">
        <v>733</v>
      </c>
      <c r="E74" s="16" t="s">
        <v>734</v>
      </c>
      <c r="F74" s="28" t="s">
        <v>735</v>
      </c>
      <c r="G74" s="3"/>
    </row>
    <row r="75" spans="1:7">
      <c r="A75" s="98"/>
      <c r="B75" s="13" t="s">
        <v>83</v>
      </c>
      <c r="C75" s="15" t="s">
        <v>23</v>
      </c>
      <c r="D75" s="22" t="s">
        <v>104</v>
      </c>
      <c r="E75" s="16" t="str">
        <f>PHONETIC(D75)</f>
        <v xml:space="preserve">しぜん </v>
      </c>
      <c r="F75" s="19" t="s">
        <v>691</v>
      </c>
    </row>
    <row r="76" spans="1:7">
      <c r="A76" s="98"/>
      <c r="B76" s="13" t="s">
        <v>83</v>
      </c>
      <c r="C76" s="15" t="s">
        <v>23</v>
      </c>
      <c r="D76" s="22" t="s">
        <v>105</v>
      </c>
      <c r="E76" s="16" t="str">
        <f>PHONETIC(D76)</f>
        <v xml:space="preserve">へんか </v>
      </c>
      <c r="F76" s="19" t="str">
        <f ca="1">IFERROR(__xludf.DUMMYFUNCTION("GOOGLETRANSLATE(E133, ""ja"",""en"")"),"change")</f>
        <v>change</v>
      </c>
    </row>
    <row r="77" spans="1:7">
      <c r="A77" s="98"/>
      <c r="B77" s="13" t="s">
        <v>83</v>
      </c>
      <c r="C77" s="15" t="s">
        <v>106</v>
      </c>
      <c r="D77" s="22" t="s">
        <v>107</v>
      </c>
      <c r="E77" s="16" t="s">
        <v>108</v>
      </c>
      <c r="F77" s="19" t="s">
        <v>1385</v>
      </c>
    </row>
    <row r="78" spans="1:7">
      <c r="A78" s="98"/>
      <c r="B78" s="13" t="s">
        <v>83</v>
      </c>
      <c r="C78" s="15" t="s">
        <v>106</v>
      </c>
      <c r="D78" s="23" t="s">
        <v>109</v>
      </c>
      <c r="E78" s="16" t="s">
        <v>3591</v>
      </c>
      <c r="F78" s="19" t="s">
        <v>1396</v>
      </c>
    </row>
    <row r="79" spans="1:7">
      <c r="A79" s="98"/>
      <c r="B79" s="13" t="s">
        <v>83</v>
      </c>
      <c r="C79" s="15" t="s">
        <v>106</v>
      </c>
      <c r="D79" s="23" t="s">
        <v>110</v>
      </c>
      <c r="E79" s="16" t="str">
        <f>PHONETIC(D79)</f>
        <v>みっせつ （な）</v>
      </c>
      <c r="F79" s="19" t="s">
        <v>1397</v>
      </c>
    </row>
    <row r="80" spans="1:7">
      <c r="A80" s="98"/>
      <c r="B80" s="13" t="s">
        <v>83</v>
      </c>
      <c r="C80" s="15" t="s">
        <v>27</v>
      </c>
      <c r="D80" s="23" t="s">
        <v>1398</v>
      </c>
      <c r="E80" s="20" t="s">
        <v>1399</v>
      </c>
      <c r="F80" s="19" t="s">
        <v>1400</v>
      </c>
    </row>
    <row r="81" spans="1:8">
      <c r="A81" s="98"/>
      <c r="B81" s="13" t="s">
        <v>83</v>
      </c>
      <c r="C81" s="15" t="s">
        <v>27</v>
      </c>
      <c r="D81" s="23" t="s">
        <v>111</v>
      </c>
      <c r="E81" s="20" t="s">
        <v>112</v>
      </c>
      <c r="F81" s="17" t="s">
        <v>1379</v>
      </c>
    </row>
    <row r="82" spans="1:8">
      <c r="A82" s="98"/>
      <c r="B82" s="13" t="s">
        <v>83</v>
      </c>
      <c r="C82" s="15" t="s">
        <v>30</v>
      </c>
      <c r="D82" s="22" t="s">
        <v>113</v>
      </c>
      <c r="E82" s="16" t="s">
        <v>114</v>
      </c>
      <c r="F82" s="19" t="str">
        <f ca="1">IFERROR(__xludf.DUMMYFUNCTION("GOOGLETRANSLATE(E74, ""ja"",""en"")"),"seafood")</f>
        <v>seafood</v>
      </c>
    </row>
    <row r="83" spans="1:8">
      <c r="A83" s="98"/>
      <c r="B83" s="13" t="s">
        <v>83</v>
      </c>
      <c r="C83" s="15" t="s">
        <v>30</v>
      </c>
      <c r="D83" s="22" t="s">
        <v>115</v>
      </c>
      <c r="E83" s="16" t="str">
        <f>PHONETIC(D83)</f>
        <v xml:space="preserve">だいず </v>
      </c>
      <c r="F83" s="19" t="s">
        <v>1401</v>
      </c>
    </row>
    <row r="84" spans="1:8">
      <c r="A84" s="98"/>
      <c r="B84" s="13" t="s">
        <v>83</v>
      </c>
      <c r="C84" s="15" t="s">
        <v>116</v>
      </c>
      <c r="D84" s="22" t="s">
        <v>117</v>
      </c>
      <c r="E84" s="16" t="str">
        <f>PHONETIC(D84)</f>
        <v xml:space="preserve">ちゅうしん </v>
      </c>
      <c r="F84" s="19" t="str">
        <f ca="1">IFERROR(__xludf.DUMMYFUNCTION("GOOGLETRANSLATE(E139, ""ja"",""en"")"),"center")</f>
        <v>center</v>
      </c>
    </row>
    <row r="85" spans="1:8">
      <c r="A85" s="98"/>
      <c r="B85" s="13" t="s">
        <v>83</v>
      </c>
      <c r="C85" s="15" t="s">
        <v>116</v>
      </c>
      <c r="D85" s="22" t="s">
        <v>118</v>
      </c>
      <c r="E85" s="16" t="s">
        <v>3592</v>
      </c>
      <c r="F85" s="19" t="str">
        <f ca="1">IFERROR(__xludf.DUMMYFUNCTION("GOOGLETRANSLATE(E140, ""ja"",""en"")"),"calorie")</f>
        <v>calorie</v>
      </c>
    </row>
    <row r="86" spans="1:8">
      <c r="A86" s="98"/>
      <c r="B86" s="13" t="s">
        <v>83</v>
      </c>
      <c r="C86" s="15" t="s">
        <v>116</v>
      </c>
      <c r="D86" s="22" t="s">
        <v>736</v>
      </c>
      <c r="E86" s="16" t="s">
        <v>737</v>
      </c>
      <c r="F86" s="17" t="s">
        <v>1419</v>
      </c>
    </row>
    <row r="87" spans="1:8">
      <c r="A87" s="98"/>
      <c r="B87" s="13" t="s">
        <v>83</v>
      </c>
      <c r="C87" s="15" t="s">
        <v>34</v>
      </c>
      <c r="D87" s="22" t="s">
        <v>119</v>
      </c>
      <c r="E87" s="16" t="str">
        <f>PHONETIC(D87)</f>
        <v xml:space="preserve">なっとう </v>
      </c>
      <c r="F87" s="17" t="s">
        <v>738</v>
      </c>
    </row>
    <row r="88" spans="1:8">
      <c r="A88" s="98"/>
      <c r="B88" s="13" t="s">
        <v>83</v>
      </c>
      <c r="C88" s="15" t="s">
        <v>34</v>
      </c>
      <c r="D88" s="22" t="s">
        <v>120</v>
      </c>
      <c r="E88" s="16" t="s">
        <v>739</v>
      </c>
      <c r="F88" s="19" t="s">
        <v>740</v>
      </c>
    </row>
    <row r="89" spans="1:8">
      <c r="A89" s="98"/>
      <c r="B89" s="13" t="s">
        <v>83</v>
      </c>
      <c r="C89" s="15" t="s">
        <v>121</v>
      </c>
      <c r="D89" s="22" t="s">
        <v>122</v>
      </c>
      <c r="E89" s="16" t="s">
        <v>123</v>
      </c>
      <c r="F89" s="19" t="s">
        <v>741</v>
      </c>
    </row>
    <row r="90" spans="1:8">
      <c r="A90" s="98"/>
      <c r="B90" s="13" t="s">
        <v>83</v>
      </c>
      <c r="C90" s="15" t="s">
        <v>36</v>
      </c>
      <c r="D90" s="22" t="s">
        <v>124</v>
      </c>
      <c r="E90" s="16" t="str">
        <f>PHONETIC(D90)</f>
        <v xml:space="preserve">きこう </v>
      </c>
      <c r="F90" s="19" t="str">
        <f ca="1">IFERROR(__xludf.DUMMYFUNCTION("GOOGLETRANSLATE(E144, ""ja"",""en"")"),"climate")</f>
        <v>climate</v>
      </c>
    </row>
    <row r="91" spans="1:8">
      <c r="A91" s="98"/>
      <c r="B91" s="13" t="s">
        <v>83</v>
      </c>
      <c r="C91" s="15" t="s">
        <v>36</v>
      </c>
      <c r="D91" s="22" t="s">
        <v>125</v>
      </c>
      <c r="E91" s="16" t="str">
        <f>PHONETIC(D91)</f>
        <v xml:space="preserve">ちけい </v>
      </c>
      <c r="F91" s="19" t="str">
        <f ca="1">IFERROR(__xludf.DUMMYFUNCTION("GOOGLETRANSLATE(E114, ""ja"",""en"")"),"terrain")</f>
        <v>terrain</v>
      </c>
    </row>
    <row r="92" spans="1:8">
      <c r="A92" s="98"/>
      <c r="B92" s="13" t="s">
        <v>83</v>
      </c>
      <c r="C92" s="15" t="s">
        <v>36</v>
      </c>
      <c r="D92" s="23" t="s">
        <v>126</v>
      </c>
      <c r="E92" s="20" t="s">
        <v>127</v>
      </c>
      <c r="F92" s="19" t="s">
        <v>742</v>
      </c>
    </row>
    <row r="93" spans="1:8">
      <c r="A93" s="98"/>
      <c r="B93" s="13" t="s">
        <v>83</v>
      </c>
      <c r="C93" s="15" t="s">
        <v>39</v>
      </c>
      <c r="D93" s="23" t="s">
        <v>128</v>
      </c>
      <c r="E93" s="20" t="s">
        <v>129</v>
      </c>
      <c r="F93" s="17" t="s">
        <v>743</v>
      </c>
    </row>
    <row r="94" spans="1:8">
      <c r="A94" s="98"/>
      <c r="B94" s="13" t="s">
        <v>83</v>
      </c>
      <c r="C94" s="15" t="s">
        <v>130</v>
      </c>
      <c r="D94" s="22" t="s">
        <v>744</v>
      </c>
      <c r="E94" s="16" t="s">
        <v>1013</v>
      </c>
      <c r="F94" s="19" t="str">
        <f ca="1">IFERROR(__xludf.DUMMYFUNCTION("GOOGLETRANSLATE(E146, ""ja"",""en"")"),"to feel")</f>
        <v>to feel</v>
      </c>
    </row>
    <row r="95" spans="1:8">
      <c r="A95" s="98"/>
      <c r="B95" s="13" t="s">
        <v>83</v>
      </c>
      <c r="C95" s="15" t="s">
        <v>130</v>
      </c>
      <c r="D95" s="23" t="s">
        <v>1446</v>
      </c>
      <c r="E95" s="16" t="s">
        <v>1447</v>
      </c>
      <c r="F95" s="19" t="s">
        <v>1448</v>
      </c>
      <c r="G95" s="9"/>
      <c r="H95" s="7"/>
    </row>
    <row r="96" spans="1:8">
      <c r="A96" s="98"/>
      <c r="B96" s="13" t="s">
        <v>83</v>
      </c>
      <c r="C96" s="15" t="s">
        <v>130</v>
      </c>
      <c r="D96" s="22" t="s">
        <v>131</v>
      </c>
      <c r="E96" s="16" t="s">
        <v>132</v>
      </c>
      <c r="F96" s="19" t="s">
        <v>133</v>
      </c>
    </row>
    <row r="97" spans="1:6">
      <c r="A97" s="98"/>
      <c r="B97" s="13" t="s">
        <v>83</v>
      </c>
      <c r="C97" s="15" t="s">
        <v>43</v>
      </c>
      <c r="D97" s="22" t="s">
        <v>3735</v>
      </c>
      <c r="E97" s="16" t="s">
        <v>3736</v>
      </c>
      <c r="F97" s="19" t="s">
        <v>746</v>
      </c>
    </row>
    <row r="98" spans="1:6">
      <c r="A98" s="98"/>
      <c r="B98" s="13" t="s">
        <v>83</v>
      </c>
      <c r="C98" s="15" t="s">
        <v>43</v>
      </c>
      <c r="D98" s="23" t="s">
        <v>134</v>
      </c>
      <c r="E98" s="20" t="s">
        <v>135</v>
      </c>
      <c r="F98" s="19" t="s">
        <v>687</v>
      </c>
    </row>
    <row r="99" spans="1:6">
      <c r="A99" s="98"/>
      <c r="B99" s="13" t="s">
        <v>83</v>
      </c>
      <c r="C99" s="15" t="s">
        <v>43</v>
      </c>
      <c r="D99" s="23" t="s">
        <v>136</v>
      </c>
      <c r="E99" s="20" t="s">
        <v>137</v>
      </c>
      <c r="F99" s="19" t="s">
        <v>747</v>
      </c>
    </row>
    <row r="100" spans="1:6">
      <c r="A100" s="98"/>
      <c r="B100" s="13" t="s">
        <v>83</v>
      </c>
      <c r="C100" s="15" t="s">
        <v>43</v>
      </c>
      <c r="D100" s="23" t="s">
        <v>138</v>
      </c>
      <c r="E100" s="20" t="s">
        <v>139</v>
      </c>
      <c r="F100" s="17" t="s">
        <v>748</v>
      </c>
    </row>
    <row r="101" spans="1:6">
      <c r="A101" s="98"/>
      <c r="B101" s="13" t="s">
        <v>83</v>
      </c>
      <c r="C101" s="15" t="s">
        <v>43</v>
      </c>
      <c r="D101" s="22" t="s">
        <v>140</v>
      </c>
      <c r="E101" s="16" t="str">
        <f t="shared" ref="E101:E104" si="2">PHONETIC(D101)</f>
        <v xml:space="preserve">かち </v>
      </c>
      <c r="F101" s="19" t="str">
        <f ca="1">IFERROR(__xludf.DUMMYFUNCTION("GOOGLETRANSLATE(E150, ""ja"",""en"")"),"worth")</f>
        <v>worth</v>
      </c>
    </row>
    <row r="102" spans="1:6">
      <c r="A102" s="98"/>
      <c r="B102" s="13" t="s">
        <v>83</v>
      </c>
      <c r="C102" s="15" t="s">
        <v>54</v>
      </c>
      <c r="D102" s="22" t="s">
        <v>141</v>
      </c>
      <c r="E102" s="16" t="str">
        <f t="shared" si="2"/>
        <v xml:space="preserve">こうせい </v>
      </c>
      <c r="F102" s="19" t="s">
        <v>142</v>
      </c>
    </row>
    <row r="103" spans="1:6">
      <c r="A103" s="98"/>
      <c r="B103" s="13" t="s">
        <v>83</v>
      </c>
      <c r="C103" s="15" t="s">
        <v>54</v>
      </c>
      <c r="D103" s="22" t="s">
        <v>143</v>
      </c>
      <c r="E103" s="16" t="str">
        <f t="shared" si="2"/>
        <v>ゆねすこ</v>
      </c>
      <c r="F103" s="19" t="str">
        <f ca="1">IFERROR(__xludf.DUMMYFUNCTION("GOOGLETRANSLATE(E84, ""ja"",""en"")"),"UNESCO")</f>
        <v>UNESCO</v>
      </c>
    </row>
    <row r="104" spans="1:6">
      <c r="A104" s="98"/>
      <c r="B104" s="13" t="s">
        <v>83</v>
      </c>
      <c r="C104" s="15" t="s">
        <v>58</v>
      </c>
      <c r="D104" s="23" t="s">
        <v>3746</v>
      </c>
      <c r="E104" s="16" t="str">
        <f t="shared" si="2"/>
        <v xml:space="preserve">むけい ぶんか いさん </v>
      </c>
      <c r="F104" s="19" t="s">
        <v>3745</v>
      </c>
    </row>
    <row r="105" spans="1:6">
      <c r="A105" s="98"/>
      <c r="B105" s="13" t="s">
        <v>83</v>
      </c>
      <c r="C105" s="15" t="s">
        <v>58</v>
      </c>
      <c r="D105" s="22" t="s">
        <v>749</v>
      </c>
      <c r="E105" s="16" t="s">
        <v>750</v>
      </c>
      <c r="F105" s="19" t="str">
        <f ca="1">IFERROR(__xludf.DUMMYFUNCTION("GOOGLETRANSLATE(E115, ""ja"",""en"")"),"to register")</f>
        <v>to register</v>
      </c>
    </row>
    <row r="106" spans="1:6">
      <c r="A106" s="98"/>
      <c r="B106" s="13" t="s">
        <v>83</v>
      </c>
      <c r="C106" s="15" t="s">
        <v>60</v>
      </c>
      <c r="D106" s="22" t="s">
        <v>751</v>
      </c>
      <c r="E106" s="16" t="s">
        <v>752</v>
      </c>
      <c r="F106" s="19" t="s">
        <v>1380</v>
      </c>
    </row>
    <row r="107" spans="1:6">
      <c r="A107" s="98"/>
      <c r="B107" s="13" t="s">
        <v>83</v>
      </c>
      <c r="C107" s="15" t="s">
        <v>60</v>
      </c>
      <c r="D107" s="22" t="s">
        <v>144</v>
      </c>
      <c r="E107" s="16" t="str">
        <f>PHONETIC(D107)</f>
        <v xml:space="preserve">よういん </v>
      </c>
      <c r="F107" s="19" t="str">
        <f ca="1">IFERROR(__xludf.DUMMYFUNCTION("GOOGLETRANSLATE(E123, ""ja"",""en"")"),"cause")</f>
        <v>cause</v>
      </c>
    </row>
    <row r="108" spans="1:6">
      <c r="A108" s="98"/>
      <c r="B108" s="13" t="s">
        <v>83</v>
      </c>
      <c r="C108" s="15" t="s">
        <v>60</v>
      </c>
      <c r="D108" s="23" t="s">
        <v>145</v>
      </c>
      <c r="E108" s="20" t="s">
        <v>146</v>
      </c>
      <c r="F108" s="19" t="s">
        <v>1402</v>
      </c>
    </row>
    <row r="109" spans="1:6">
      <c r="A109" s="98"/>
      <c r="B109" s="13" t="s">
        <v>83</v>
      </c>
      <c r="C109" s="15" t="s">
        <v>147</v>
      </c>
      <c r="D109" s="23" t="s">
        <v>148</v>
      </c>
      <c r="E109" s="24" t="s">
        <v>149</v>
      </c>
      <c r="F109" s="17" t="s">
        <v>1382</v>
      </c>
    </row>
    <row r="110" spans="1:6">
      <c r="A110" s="98"/>
      <c r="B110" s="13" t="s">
        <v>83</v>
      </c>
      <c r="C110" s="15" t="s">
        <v>147</v>
      </c>
      <c r="D110" s="23" t="s">
        <v>150</v>
      </c>
      <c r="E110" s="24" t="s">
        <v>151</v>
      </c>
      <c r="F110" s="17" t="s">
        <v>732</v>
      </c>
    </row>
    <row r="111" spans="1:6">
      <c r="A111" s="98"/>
      <c r="B111" s="13" t="s">
        <v>83</v>
      </c>
      <c r="C111" s="15" t="s">
        <v>63</v>
      </c>
      <c r="D111" s="16" t="s">
        <v>152</v>
      </c>
      <c r="E111" s="24" t="s">
        <v>3748</v>
      </c>
      <c r="F111" s="19" t="s">
        <v>1077</v>
      </c>
    </row>
    <row r="112" spans="1:6">
      <c r="A112" s="98"/>
      <c r="B112" s="13" t="s">
        <v>83</v>
      </c>
      <c r="C112" s="15" t="s">
        <v>153</v>
      </c>
      <c r="D112" s="22" t="s">
        <v>154</v>
      </c>
      <c r="E112" s="16" t="str">
        <f>PHONETIC(D112)</f>
        <v xml:space="preserve">ご </v>
      </c>
      <c r="F112" s="19" t="s">
        <v>753</v>
      </c>
    </row>
    <row r="113" spans="1:6">
      <c r="A113" s="98"/>
      <c r="B113" s="13" t="s">
        <v>83</v>
      </c>
      <c r="C113" s="15" t="s">
        <v>153</v>
      </c>
      <c r="D113" s="22" t="s">
        <v>155</v>
      </c>
      <c r="E113" s="16" t="str">
        <f>PHONETIC(D113)</f>
        <v xml:space="preserve">じじょう </v>
      </c>
      <c r="F113" s="19" t="s">
        <v>692</v>
      </c>
    </row>
    <row r="114" spans="1:6">
      <c r="A114" s="98"/>
      <c r="B114" s="13" t="s">
        <v>83</v>
      </c>
      <c r="C114" s="15" t="s">
        <v>153</v>
      </c>
      <c r="D114" s="23" t="s">
        <v>156</v>
      </c>
      <c r="E114" s="20" t="s">
        <v>754</v>
      </c>
      <c r="F114" s="19" t="s">
        <v>1381</v>
      </c>
    </row>
    <row r="115" spans="1:6">
      <c r="A115" s="98"/>
      <c r="B115" s="13" t="s">
        <v>83</v>
      </c>
      <c r="C115" s="15" t="s">
        <v>66</v>
      </c>
      <c r="D115" s="22" t="s">
        <v>157</v>
      </c>
      <c r="E115" s="16" t="str">
        <f t="shared" ref="E115:E152" si="3">PHONETIC(D115)</f>
        <v xml:space="preserve">きゅうしょく </v>
      </c>
      <c r="F115" s="19" t="s">
        <v>755</v>
      </c>
    </row>
    <row r="116" spans="1:6">
      <c r="A116" s="98"/>
      <c r="B116" s="13" t="s">
        <v>83</v>
      </c>
      <c r="C116" s="15" t="s">
        <v>66</v>
      </c>
      <c r="D116" s="22" t="s">
        <v>158</v>
      </c>
      <c r="E116" s="16" t="str">
        <f t="shared" si="3"/>
        <v xml:space="preserve">たいりょう </v>
      </c>
      <c r="F116" s="19" t="s">
        <v>1383</v>
      </c>
    </row>
    <row r="117" spans="1:6">
      <c r="A117" s="98"/>
      <c r="B117" s="13" t="s">
        <v>83</v>
      </c>
      <c r="C117" s="15" t="s">
        <v>66</v>
      </c>
      <c r="D117" s="22" t="s">
        <v>159</v>
      </c>
      <c r="E117" s="16" t="str">
        <f t="shared" si="3"/>
        <v xml:space="preserve">こむぎ </v>
      </c>
      <c r="F117" s="19" t="str">
        <f ca="1">IFERROR(__xludf.DUMMYFUNCTION("GOOGLETRANSLATE(E162, ""ja"",""en"")"),"wheat")</f>
        <v>wheat</v>
      </c>
    </row>
    <row r="118" spans="1:6">
      <c r="A118" s="98"/>
      <c r="B118" s="13" t="s">
        <v>83</v>
      </c>
      <c r="C118" s="15" t="s">
        <v>160</v>
      </c>
      <c r="D118" s="22" t="s">
        <v>161</v>
      </c>
      <c r="E118" s="16" t="str">
        <f t="shared" si="3"/>
        <v>みるく</v>
      </c>
      <c r="F118" s="19" t="str">
        <f ca="1">IFERROR(__xludf.DUMMYFUNCTION("GOOGLETRANSLATE(E163, ""ja"",""en"")"),"milk")</f>
        <v>milk</v>
      </c>
    </row>
    <row r="119" spans="1:6">
      <c r="A119" s="98"/>
      <c r="B119" s="13" t="s">
        <v>83</v>
      </c>
      <c r="C119" s="15" t="s">
        <v>160</v>
      </c>
      <c r="D119" s="22" t="s">
        <v>756</v>
      </c>
      <c r="E119" s="16" t="s">
        <v>757</v>
      </c>
      <c r="F119" s="19" t="s">
        <v>1420</v>
      </c>
    </row>
    <row r="120" spans="1:6">
      <c r="A120" s="98"/>
      <c r="B120" s="13" t="s">
        <v>83</v>
      </c>
      <c r="C120" s="15" t="s">
        <v>160</v>
      </c>
      <c r="D120" s="23" t="s">
        <v>162</v>
      </c>
      <c r="E120" s="20" t="s">
        <v>163</v>
      </c>
      <c r="F120" s="17" t="s">
        <v>758</v>
      </c>
    </row>
    <row r="121" spans="1:6">
      <c r="A121" s="98"/>
      <c r="B121" s="13" t="s">
        <v>83</v>
      </c>
      <c r="C121" s="15" t="s">
        <v>160</v>
      </c>
      <c r="D121" s="23" t="s">
        <v>164</v>
      </c>
      <c r="E121" s="16" t="s">
        <v>759</v>
      </c>
      <c r="F121" s="17" t="s">
        <v>760</v>
      </c>
    </row>
    <row r="122" spans="1:6">
      <c r="A122" s="98"/>
      <c r="B122" s="13" t="s">
        <v>83</v>
      </c>
      <c r="C122" s="15" t="s">
        <v>160</v>
      </c>
      <c r="D122" s="22" t="s">
        <v>165</v>
      </c>
      <c r="E122" s="16" t="str">
        <f>PHONETIC(D122)</f>
        <v xml:space="preserve">しょうひ </v>
      </c>
      <c r="F122" s="17" t="str">
        <f ca="1">IFERROR(__xludf.DUMMYFUNCTION("GOOGLETRANSLATE(E166, ""ja"",""en"")"),"consumption")</f>
        <v>consumption</v>
      </c>
    </row>
    <row r="123" spans="1:6">
      <c r="A123" s="98"/>
      <c r="B123" s="13" t="s">
        <v>83</v>
      </c>
      <c r="C123" s="15" t="s">
        <v>160</v>
      </c>
      <c r="D123" s="23" t="s">
        <v>761</v>
      </c>
      <c r="E123" s="24" t="s">
        <v>762</v>
      </c>
      <c r="F123" s="19" t="s">
        <v>1421</v>
      </c>
    </row>
    <row r="124" spans="1:6">
      <c r="A124" s="98"/>
      <c r="B124" s="13" t="s">
        <v>83</v>
      </c>
      <c r="C124" s="15" t="s">
        <v>68</v>
      </c>
      <c r="D124" s="22" t="s">
        <v>166</v>
      </c>
      <c r="E124" s="16" t="str">
        <f>PHONETIC(D124)</f>
        <v xml:space="preserve">にゅうせいひん </v>
      </c>
      <c r="F124" s="19" t="str">
        <f ca="1">IFERROR(__xludf.DUMMYFUNCTION("GOOGLETRANSLATE(E93, ""ja"",""en"")"),"dairy products")</f>
        <v>dairy products</v>
      </c>
    </row>
    <row r="125" spans="1:6">
      <c r="A125" s="98"/>
      <c r="B125" s="13" t="s">
        <v>83</v>
      </c>
      <c r="C125" s="15" t="s">
        <v>68</v>
      </c>
      <c r="D125" s="22" t="s">
        <v>167</v>
      </c>
      <c r="E125" s="20" t="s">
        <v>168</v>
      </c>
      <c r="F125" s="19" t="s">
        <v>763</v>
      </c>
    </row>
    <row r="126" spans="1:6">
      <c r="A126" s="98"/>
      <c r="B126" s="13" t="s">
        <v>83</v>
      </c>
      <c r="C126" s="15" t="s">
        <v>169</v>
      </c>
      <c r="D126" s="22" t="s">
        <v>170</v>
      </c>
      <c r="E126" s="16" t="s">
        <v>171</v>
      </c>
      <c r="F126" s="19" t="str">
        <f ca="1">IFERROR(__xludf.DUMMYFUNCTION("GOOGLETRANSLATE(E94, ""ja"",""en"")"),"intake")</f>
        <v>intake</v>
      </c>
    </row>
    <row r="127" spans="1:6">
      <c r="A127" s="98"/>
      <c r="B127" s="13" t="s">
        <v>83</v>
      </c>
      <c r="C127" s="15" t="s">
        <v>169</v>
      </c>
      <c r="D127" s="22" t="s">
        <v>172</v>
      </c>
      <c r="E127" s="16" t="str">
        <f>PHONETIC(D127)</f>
        <v>さらに</v>
      </c>
      <c r="F127" s="19" t="str">
        <f ca="1">IFERROR(__xludf.DUMMYFUNCTION("GOOGLETRANSLATE(E526, ""ja"",""en"")"),"moreover")</f>
        <v>moreover</v>
      </c>
    </row>
    <row r="128" spans="1:6">
      <c r="A128" s="98"/>
      <c r="B128" s="13" t="s">
        <v>83</v>
      </c>
      <c r="C128" s="15" t="s">
        <v>169</v>
      </c>
      <c r="D128" s="23" t="s">
        <v>173</v>
      </c>
      <c r="E128" s="24" t="s">
        <v>174</v>
      </c>
      <c r="F128" s="19" t="s">
        <v>1376</v>
      </c>
    </row>
    <row r="129" spans="1:6" ht="30">
      <c r="A129" s="98"/>
      <c r="B129" s="14" t="s">
        <v>83</v>
      </c>
      <c r="C129" s="15" t="s">
        <v>179</v>
      </c>
      <c r="D129" s="20" t="s">
        <v>175</v>
      </c>
      <c r="E129" s="24" t="s">
        <v>176</v>
      </c>
      <c r="F129" s="29" t="s">
        <v>1377</v>
      </c>
    </row>
    <row r="130" spans="1:6">
      <c r="A130" s="98"/>
      <c r="B130" s="13" t="s">
        <v>83</v>
      </c>
      <c r="C130" s="15" t="s">
        <v>179</v>
      </c>
      <c r="D130" s="22" t="s">
        <v>177</v>
      </c>
      <c r="E130" s="16" t="s">
        <v>178</v>
      </c>
      <c r="F130" s="19" t="str">
        <f ca="1">IFERROR(__xludf.DUMMYFUNCTION("GOOGLETRANSLATE(E95, ""ja"",""en"")"),"people")</f>
        <v>people</v>
      </c>
    </row>
    <row r="131" spans="1:6">
      <c r="A131" s="98"/>
      <c r="B131" s="13" t="s">
        <v>83</v>
      </c>
      <c r="C131" s="15" t="s">
        <v>179</v>
      </c>
      <c r="D131" s="23" t="s">
        <v>180</v>
      </c>
      <c r="E131" s="16" t="s">
        <v>3593</v>
      </c>
      <c r="F131" s="19" t="s">
        <v>693</v>
      </c>
    </row>
    <row r="132" spans="1:6">
      <c r="A132" s="98"/>
      <c r="B132" s="13" t="s">
        <v>83</v>
      </c>
      <c r="C132" s="15" t="s">
        <v>179</v>
      </c>
      <c r="D132" s="22" t="s">
        <v>764</v>
      </c>
      <c r="E132" s="16" t="s">
        <v>765</v>
      </c>
      <c r="F132" s="19" t="s">
        <v>1422</v>
      </c>
    </row>
    <row r="133" spans="1:6">
      <c r="A133" s="98"/>
      <c r="B133" s="13" t="s">
        <v>83</v>
      </c>
      <c r="C133" s="15" t="s">
        <v>179</v>
      </c>
      <c r="D133" s="23" t="s">
        <v>181</v>
      </c>
      <c r="E133" s="20" t="s">
        <v>182</v>
      </c>
      <c r="F133" s="19" t="s">
        <v>1423</v>
      </c>
    </row>
    <row r="134" spans="1:6">
      <c r="A134" s="98"/>
      <c r="B134" s="13" t="s">
        <v>83</v>
      </c>
      <c r="C134" s="15" t="s">
        <v>179</v>
      </c>
      <c r="D134" s="22" t="s">
        <v>766</v>
      </c>
      <c r="E134" s="16" t="s">
        <v>767</v>
      </c>
      <c r="F134" s="19" t="s">
        <v>768</v>
      </c>
    </row>
    <row r="135" spans="1:6">
      <c r="A135" s="98"/>
      <c r="B135" s="13" t="s">
        <v>83</v>
      </c>
      <c r="C135" s="15" t="s">
        <v>186</v>
      </c>
      <c r="D135" s="22" t="s">
        <v>1449</v>
      </c>
      <c r="E135" s="16" t="s">
        <v>1450</v>
      </c>
      <c r="F135" s="19" t="s">
        <v>1451</v>
      </c>
    </row>
    <row r="136" spans="1:6">
      <c r="A136" s="98"/>
      <c r="B136" s="13" t="s">
        <v>83</v>
      </c>
      <c r="C136" s="15" t="s">
        <v>186</v>
      </c>
      <c r="D136" s="23" t="s">
        <v>183</v>
      </c>
      <c r="E136" s="20" t="s">
        <v>184</v>
      </c>
      <c r="F136" s="19" t="s">
        <v>686</v>
      </c>
    </row>
    <row r="137" spans="1:6">
      <c r="A137" s="98"/>
      <c r="B137" s="13" t="s">
        <v>83</v>
      </c>
      <c r="C137" s="15" t="s">
        <v>186</v>
      </c>
      <c r="D137" s="22" t="s">
        <v>185</v>
      </c>
      <c r="E137" s="16" t="str">
        <f>PHONETIC(D137)</f>
        <v xml:space="preserve">きんねん </v>
      </c>
      <c r="F137" s="19" t="str">
        <f ca="1">IFERROR(__xludf.DUMMYFUNCTION("GOOGLETRANSLATE(E98, ""ja"",""en"")"),"recent years")</f>
        <v>recent years</v>
      </c>
    </row>
    <row r="138" spans="1:6">
      <c r="A138" s="98"/>
      <c r="B138" s="13" t="s">
        <v>83</v>
      </c>
      <c r="C138" s="15" t="s">
        <v>76</v>
      </c>
      <c r="D138" s="22" t="s">
        <v>769</v>
      </c>
      <c r="E138" s="16" t="s">
        <v>770</v>
      </c>
      <c r="F138" s="19" t="s">
        <v>771</v>
      </c>
    </row>
    <row r="139" spans="1:6">
      <c r="A139" s="98"/>
      <c r="B139" s="13" t="s">
        <v>83</v>
      </c>
      <c r="C139" s="15" t="s">
        <v>76</v>
      </c>
      <c r="D139" s="22" t="s">
        <v>187</v>
      </c>
      <c r="E139" s="16" t="str">
        <f>PHONETIC(D139)</f>
        <v xml:space="preserve">せいかつ </v>
      </c>
      <c r="F139" s="17" t="s">
        <v>1424</v>
      </c>
    </row>
    <row r="140" spans="1:6">
      <c r="A140" s="98"/>
      <c r="B140" s="13" t="s">
        <v>83</v>
      </c>
      <c r="C140" s="15" t="s">
        <v>76</v>
      </c>
      <c r="D140" s="22" t="s">
        <v>772</v>
      </c>
      <c r="E140" s="16" t="s">
        <v>773</v>
      </c>
      <c r="F140" s="19" t="str">
        <f ca="1">IFERROR(__xludf.DUMMYFUNCTION("GOOGLETRANSLATE(E173, ""ja"",""en"")"),"to incorporate")</f>
        <v>to incorporate</v>
      </c>
    </row>
    <row r="141" spans="1:6">
      <c r="A141" s="98"/>
      <c r="B141" s="13" t="s">
        <v>83</v>
      </c>
      <c r="C141" s="15" t="s">
        <v>76</v>
      </c>
      <c r="D141" s="22" t="s">
        <v>189</v>
      </c>
      <c r="E141" s="16" t="s">
        <v>190</v>
      </c>
      <c r="F141" s="19" t="str">
        <f ca="1">IFERROR(__xludf.DUMMYFUNCTION("GOOGLETRANSLATE(E124, ""ja"",""en"")"),"movement")</f>
        <v>movement</v>
      </c>
    </row>
    <row r="142" spans="1:6">
      <c r="A142" s="98"/>
      <c r="B142" s="13" t="s">
        <v>83</v>
      </c>
      <c r="C142" s="15" t="s">
        <v>76</v>
      </c>
      <c r="D142" s="22" t="s">
        <v>774</v>
      </c>
      <c r="E142" s="16" t="s">
        <v>775</v>
      </c>
      <c r="F142" s="17" t="s">
        <v>776</v>
      </c>
    </row>
    <row r="143" spans="1:6">
      <c r="A143" s="98"/>
      <c r="B143" s="13" t="s">
        <v>83</v>
      </c>
      <c r="C143" s="15" t="s">
        <v>194</v>
      </c>
      <c r="D143" s="22" t="s">
        <v>192</v>
      </c>
      <c r="E143" s="16" t="str">
        <f>PHONETIC(D143)</f>
        <v>れしぴ</v>
      </c>
      <c r="F143" s="19" t="str">
        <f ca="1">IFERROR(__xludf.DUMMYFUNCTION("GOOGLETRANSLATE(E99, ""ja"",""en"")"),"recipe")</f>
        <v>recipe</v>
      </c>
    </row>
    <row r="144" spans="1:6">
      <c r="A144" s="98"/>
      <c r="B144" s="13" t="s">
        <v>83</v>
      </c>
      <c r="C144" s="15" t="s">
        <v>194</v>
      </c>
      <c r="D144" s="22" t="s">
        <v>193</v>
      </c>
      <c r="E144" s="16" t="s">
        <v>777</v>
      </c>
      <c r="F144" s="19" t="str">
        <f ca="1">IFERROR(__xludf.DUMMYFUNCTION("GOOGLETRANSLATE(E100, ""ja"",""en"")"),"number of items")</f>
        <v>number of items</v>
      </c>
    </row>
    <row r="145" spans="1:6">
      <c r="A145" s="98"/>
      <c r="B145" s="13" t="s">
        <v>83</v>
      </c>
      <c r="C145" s="15" t="s">
        <v>194</v>
      </c>
      <c r="D145" s="23" t="s">
        <v>778</v>
      </c>
      <c r="E145" s="16" t="s">
        <v>779</v>
      </c>
      <c r="F145" s="19" t="s">
        <v>1425</v>
      </c>
    </row>
    <row r="146" spans="1:6">
      <c r="A146" s="98"/>
      <c r="B146" s="13" t="s">
        <v>83</v>
      </c>
      <c r="C146" s="15" t="s">
        <v>197</v>
      </c>
      <c r="D146" s="22" t="s">
        <v>195</v>
      </c>
      <c r="E146" s="16" t="str">
        <f t="shared" si="3"/>
        <v xml:space="preserve">ちゅうか </v>
      </c>
      <c r="F146" s="19" t="s">
        <v>1426</v>
      </c>
    </row>
    <row r="147" spans="1:6">
      <c r="A147" s="98"/>
      <c r="B147" s="13" t="s">
        <v>83</v>
      </c>
      <c r="C147" s="15" t="s">
        <v>197</v>
      </c>
      <c r="D147" s="23" t="s">
        <v>196</v>
      </c>
      <c r="E147" s="16" t="str">
        <f t="shared" si="3"/>
        <v>えすにっく</v>
      </c>
      <c r="F147" s="19" t="str">
        <f ca="1">IFERROR(__xludf.DUMMYFUNCTION("GOOGLETRANSLATE(E103, ""ja"",""en"")"),"ethnic")</f>
        <v>ethnic</v>
      </c>
    </row>
    <row r="148" spans="1:6">
      <c r="A148" s="98"/>
      <c r="B148" s="13" t="s">
        <v>83</v>
      </c>
      <c r="C148" s="15" t="s">
        <v>204</v>
      </c>
      <c r="D148" s="22" t="s">
        <v>198</v>
      </c>
      <c r="E148" s="16" t="s">
        <v>199</v>
      </c>
      <c r="F148" s="19" t="str">
        <f ca="1">IFERROR(__xludf.DUMMYFUNCTION("GOOGLETRANSLATE(E104, ""ja"",""en"")"),"onion")</f>
        <v>onion</v>
      </c>
    </row>
    <row r="149" spans="1:6">
      <c r="A149" s="98"/>
      <c r="B149" s="13" t="s">
        <v>83</v>
      </c>
      <c r="C149" s="15" t="s">
        <v>204</v>
      </c>
      <c r="D149" s="23" t="s">
        <v>200</v>
      </c>
      <c r="E149" s="16" t="s">
        <v>3594</v>
      </c>
      <c r="F149" s="17" t="s">
        <v>780</v>
      </c>
    </row>
    <row r="150" spans="1:6">
      <c r="A150" s="98"/>
      <c r="B150" s="13" t="s">
        <v>83</v>
      </c>
      <c r="C150" s="15" t="s">
        <v>204</v>
      </c>
      <c r="D150" s="23" t="s">
        <v>745</v>
      </c>
      <c r="E150" s="20" t="s">
        <v>781</v>
      </c>
      <c r="F150" s="17" t="s">
        <v>1024</v>
      </c>
    </row>
    <row r="151" spans="1:6">
      <c r="A151" s="98"/>
      <c r="B151" s="13" t="s">
        <v>83</v>
      </c>
      <c r="C151" s="15" t="s">
        <v>204</v>
      </c>
      <c r="D151" s="23" t="s">
        <v>201</v>
      </c>
      <c r="E151" s="20" t="s">
        <v>202</v>
      </c>
      <c r="F151" s="17" t="s">
        <v>738</v>
      </c>
    </row>
    <row r="152" spans="1:6">
      <c r="A152" s="98"/>
      <c r="B152" s="13" t="s">
        <v>83</v>
      </c>
      <c r="C152" s="15" t="s">
        <v>204</v>
      </c>
      <c r="D152" s="23" t="s">
        <v>203</v>
      </c>
      <c r="E152" s="16" t="str">
        <f t="shared" si="3"/>
        <v>すぱげってぃ</v>
      </c>
      <c r="F152" s="19" t="str">
        <f ca="1">IFERROR(__xludf.DUMMYFUNCTION("GOOGLETRANSLATE(E108, ""ja"",""en"")"),"spaghetti")</f>
        <v>spaghetti</v>
      </c>
    </row>
    <row r="153" spans="1:6">
      <c r="A153" s="98"/>
      <c r="B153" s="13" t="s">
        <v>83</v>
      </c>
      <c r="C153" s="15" t="s">
        <v>207</v>
      </c>
      <c r="D153" s="23" t="s">
        <v>205</v>
      </c>
      <c r="E153" s="16" t="s">
        <v>3595</v>
      </c>
      <c r="F153" s="19" t="str">
        <f ca="1">IFERROR(__xludf.DUMMYFUNCTION("GOOGLETRANSLATE(E107, ""ja"",""en"")"),"toast")</f>
        <v>toast</v>
      </c>
    </row>
    <row r="154" spans="1:6">
      <c r="A154" s="98"/>
      <c r="B154" s="13" t="s">
        <v>83</v>
      </c>
      <c r="C154" s="15" t="s">
        <v>207</v>
      </c>
      <c r="D154" s="23" t="s">
        <v>206</v>
      </c>
      <c r="E154" s="16" t="str">
        <f>PHONETIC(D154)</f>
        <v>しんぼる</v>
      </c>
      <c r="F154" s="19" t="str">
        <f ca="1">IFERROR(__xludf.DUMMYFUNCTION("GOOGLETRANSLATE(E110, ""ja"",""en"")"),"symbol")</f>
        <v>symbol</v>
      </c>
    </row>
    <row r="155" spans="1:6">
      <c r="A155" s="98"/>
      <c r="B155" s="13" t="s">
        <v>83</v>
      </c>
      <c r="C155" s="15" t="s">
        <v>541</v>
      </c>
      <c r="D155" s="23" t="s">
        <v>782</v>
      </c>
      <c r="E155" s="16" t="s">
        <v>783</v>
      </c>
      <c r="F155" s="17" t="s">
        <v>784</v>
      </c>
    </row>
    <row r="156" spans="1:6">
      <c r="A156" s="99"/>
      <c r="B156" s="13" t="s">
        <v>83</v>
      </c>
      <c r="C156" s="15" t="s">
        <v>541</v>
      </c>
      <c r="D156" s="23" t="s">
        <v>3734</v>
      </c>
      <c r="E156" s="20" t="s">
        <v>1600</v>
      </c>
      <c r="F156" s="17" t="s">
        <v>785</v>
      </c>
    </row>
  </sheetData>
  <autoFilter ref="A1:F156" xr:uid="{F772D92A-DA41-934C-94D7-0123946570BA}"/>
  <mergeCells count="1">
    <mergeCell ref="A2:A156"/>
  </mergeCells>
  <phoneticPr fontId="2"/>
  <pageMargins left="0.11811023622047245" right="0.11811023622047245" top="0.19685039370078741" bottom="0.15748031496062992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08595-1D81-4147-9D7B-02B069FD95DF}">
  <dimension ref="A1:G176"/>
  <sheetViews>
    <sheetView tabSelected="1" zoomScale="96" zoomScaleNormal="96" workbookViewId="0">
      <pane ySplit="1" topLeftCell="A137" activePane="bottomLeft" state="frozen"/>
      <selection pane="bottomLeft" sqref="A1:F176"/>
    </sheetView>
  </sheetViews>
  <sheetFormatPr baseColWidth="10" defaultColWidth="11.28515625" defaultRowHeight="20"/>
  <cols>
    <col min="1" max="1" width="8.85546875" style="2" customWidth="1"/>
    <col min="2" max="2" width="11.28515625" style="2"/>
    <col min="3" max="3" width="9.7109375" style="2" customWidth="1"/>
    <col min="4" max="4" width="19.28515625" style="2" customWidth="1"/>
    <col min="5" max="5" width="19.7109375" style="2" customWidth="1"/>
    <col min="6" max="6" width="26.28515625" style="2" customWidth="1"/>
    <col min="7" max="16384" width="11.28515625" style="2"/>
  </cols>
  <sheetData>
    <row r="1" spans="1:7" s="10" customFormat="1" ht="17">
      <c r="A1" s="72" t="s">
        <v>0</v>
      </c>
      <c r="B1" s="72" t="s">
        <v>1</v>
      </c>
      <c r="C1" s="73" t="s">
        <v>3747</v>
      </c>
      <c r="D1" s="72" t="s">
        <v>3740</v>
      </c>
      <c r="E1" s="72" t="s">
        <v>3741</v>
      </c>
      <c r="F1" s="72" t="s">
        <v>3742</v>
      </c>
    </row>
    <row r="2" spans="1:7">
      <c r="A2" s="80" t="s">
        <v>3273</v>
      </c>
      <c r="B2" s="16"/>
      <c r="C2" s="31" t="s">
        <v>2172</v>
      </c>
      <c r="D2" s="16" t="s">
        <v>1869</v>
      </c>
      <c r="E2" s="16" t="s">
        <v>2054</v>
      </c>
      <c r="F2" s="25" t="str">
        <f ca="1">IFERROR(__xludf.DUMMYFUNCTION("GOOGLETRANSLATE(E404, ""ja"",""en"")"),"food")</f>
        <v>food</v>
      </c>
    </row>
    <row r="3" spans="1:7">
      <c r="A3" s="81"/>
      <c r="B3" s="31"/>
      <c r="C3" s="32" t="s">
        <v>1611</v>
      </c>
      <c r="D3" s="20" t="s">
        <v>2723</v>
      </c>
      <c r="E3" s="24" t="s">
        <v>3274</v>
      </c>
      <c r="F3" s="25" t="s">
        <v>2725</v>
      </c>
    </row>
    <row r="4" spans="1:7">
      <c r="A4" s="81"/>
      <c r="B4" s="31" t="s">
        <v>2175</v>
      </c>
      <c r="C4" s="32" t="s">
        <v>2176</v>
      </c>
      <c r="D4" s="20" t="s">
        <v>2736</v>
      </c>
      <c r="E4" s="16" t="s">
        <v>3275</v>
      </c>
      <c r="F4" s="25" t="s">
        <v>3272</v>
      </c>
    </row>
    <row r="5" spans="1:7">
      <c r="A5" s="81"/>
      <c r="B5" s="31" t="s">
        <v>8</v>
      </c>
      <c r="C5" s="32" t="s">
        <v>1872</v>
      </c>
      <c r="D5" s="20" t="s">
        <v>3271</v>
      </c>
      <c r="E5" s="24" t="s">
        <v>3276</v>
      </c>
      <c r="F5" s="20" t="s">
        <v>2230</v>
      </c>
    </row>
    <row r="6" spans="1:7">
      <c r="A6" s="81"/>
      <c r="B6" s="31" t="s">
        <v>8</v>
      </c>
      <c r="C6" s="32" t="s">
        <v>1872</v>
      </c>
      <c r="D6" s="16" t="s">
        <v>3270</v>
      </c>
      <c r="E6" s="16" t="s">
        <v>3277</v>
      </c>
      <c r="F6" s="20" t="s">
        <v>3269</v>
      </c>
    </row>
    <row r="7" spans="1:7" ht="52" customHeight="1">
      <c r="A7" s="81"/>
      <c r="B7" s="31" t="s">
        <v>8</v>
      </c>
      <c r="C7" s="32" t="s">
        <v>1937</v>
      </c>
      <c r="D7" s="16" t="s">
        <v>3268</v>
      </c>
      <c r="E7" s="16" t="s">
        <v>3278</v>
      </c>
      <c r="F7" s="25" t="s">
        <v>3267</v>
      </c>
    </row>
    <row r="8" spans="1:7" ht="38">
      <c r="A8" s="81"/>
      <c r="B8" s="31" t="s">
        <v>8</v>
      </c>
      <c r="C8" s="32" t="s">
        <v>1619</v>
      </c>
      <c r="D8" s="20" t="s">
        <v>3266</v>
      </c>
      <c r="E8" s="16" t="s">
        <v>3279</v>
      </c>
      <c r="F8" s="25" t="s">
        <v>3265</v>
      </c>
      <c r="G8" s="48"/>
    </row>
    <row r="9" spans="1:7">
      <c r="A9" s="81"/>
      <c r="B9" s="31" t="s">
        <v>8</v>
      </c>
      <c r="C9" s="32" t="s">
        <v>1876</v>
      </c>
      <c r="D9" s="16" t="s">
        <v>3264</v>
      </c>
      <c r="E9" s="16" t="s">
        <v>3280</v>
      </c>
      <c r="F9" s="25" t="s">
        <v>3263</v>
      </c>
    </row>
    <row r="10" spans="1:7">
      <c r="A10" s="81"/>
      <c r="B10" s="31" t="s">
        <v>8</v>
      </c>
      <c r="C10" s="36" t="s">
        <v>1876</v>
      </c>
      <c r="D10" s="16" t="s">
        <v>3262</v>
      </c>
      <c r="E10" s="16" t="s">
        <v>3281</v>
      </c>
      <c r="F10" s="25" t="s">
        <v>3261</v>
      </c>
    </row>
    <row r="11" spans="1:7">
      <c r="A11" s="81"/>
      <c r="B11" s="31" t="s">
        <v>8</v>
      </c>
      <c r="C11" s="36" t="s">
        <v>1621</v>
      </c>
      <c r="D11" s="20" t="s">
        <v>3260</v>
      </c>
      <c r="E11" s="20" t="s">
        <v>3282</v>
      </c>
      <c r="F11" s="25" t="s">
        <v>3259</v>
      </c>
    </row>
    <row r="12" spans="1:7">
      <c r="A12" s="81"/>
      <c r="B12" s="31" t="s">
        <v>8</v>
      </c>
      <c r="C12" s="36" t="s">
        <v>1626</v>
      </c>
      <c r="D12" s="20" t="s">
        <v>3258</v>
      </c>
      <c r="E12" s="20" t="s">
        <v>3283</v>
      </c>
      <c r="F12" s="25" t="s">
        <v>3257</v>
      </c>
    </row>
    <row r="13" spans="1:7">
      <c r="A13" s="81"/>
      <c r="B13" s="31" t="s">
        <v>8</v>
      </c>
      <c r="C13" s="36" t="s">
        <v>1626</v>
      </c>
      <c r="D13" s="20" t="s">
        <v>3256</v>
      </c>
      <c r="E13" s="20" t="s">
        <v>3284</v>
      </c>
      <c r="F13" s="25" t="s">
        <v>3255</v>
      </c>
    </row>
    <row r="14" spans="1:7">
      <c r="A14" s="81"/>
      <c r="B14" s="31" t="s">
        <v>8</v>
      </c>
      <c r="C14" s="32" t="s">
        <v>1891</v>
      </c>
      <c r="D14" s="16" t="s">
        <v>3254</v>
      </c>
      <c r="E14" s="16" t="s">
        <v>3285</v>
      </c>
      <c r="F14" s="25" t="str">
        <f ca="1">IFERROR(__xludf.DUMMYFUNCTION("GOOGLETRANSLATE(E658, ""ja"",""en"")"),"half")</f>
        <v>half</v>
      </c>
    </row>
    <row r="15" spans="1:7">
      <c r="A15" s="81"/>
      <c r="B15" s="31" t="s">
        <v>8</v>
      </c>
      <c r="C15" s="32" t="s">
        <v>1633</v>
      </c>
      <c r="D15" s="16" t="s">
        <v>3253</v>
      </c>
      <c r="E15" s="16" t="s">
        <v>3286</v>
      </c>
      <c r="F15" s="25" t="s">
        <v>3252</v>
      </c>
    </row>
    <row r="16" spans="1:7">
      <c r="A16" s="81"/>
      <c r="B16" s="31" t="s">
        <v>8</v>
      </c>
      <c r="C16" s="32" t="s">
        <v>1633</v>
      </c>
      <c r="D16" s="16" t="s">
        <v>3251</v>
      </c>
      <c r="E16" s="16" t="s">
        <v>2403</v>
      </c>
      <c r="F16" s="25" t="s">
        <v>3686</v>
      </c>
    </row>
    <row r="17" spans="1:6">
      <c r="A17" s="81"/>
      <c r="B17" s="31" t="s">
        <v>8</v>
      </c>
      <c r="C17" s="32" t="s">
        <v>1638</v>
      </c>
      <c r="D17" s="20" t="s">
        <v>3250</v>
      </c>
      <c r="E17" s="16" t="s">
        <v>3287</v>
      </c>
      <c r="F17" s="25" t="s">
        <v>3249</v>
      </c>
    </row>
    <row r="18" spans="1:6">
      <c r="A18" s="81"/>
      <c r="B18" s="31" t="s">
        <v>8</v>
      </c>
      <c r="C18" s="32" t="s">
        <v>1962</v>
      </c>
      <c r="D18" s="20" t="s">
        <v>3248</v>
      </c>
      <c r="E18" s="20" t="s">
        <v>3288</v>
      </c>
      <c r="F18" s="20" t="s">
        <v>3196</v>
      </c>
    </row>
    <row r="19" spans="1:6">
      <c r="A19" s="81"/>
      <c r="B19" s="31" t="s">
        <v>8</v>
      </c>
      <c r="C19" s="32" t="s">
        <v>1640</v>
      </c>
      <c r="D19" s="16" t="s">
        <v>2242</v>
      </c>
      <c r="E19" s="16" t="s">
        <v>2424</v>
      </c>
      <c r="F19" s="25" t="str">
        <f ca="1">IFERROR(__xludf.DUMMYFUNCTION("GOOGLETRANSLATE(E210, ""ja"",""en"")"),"amount")</f>
        <v>amount</v>
      </c>
    </row>
    <row r="20" spans="1:6">
      <c r="A20" s="81"/>
      <c r="B20" s="31" t="s">
        <v>8</v>
      </c>
      <c r="C20" s="32" t="s">
        <v>1968</v>
      </c>
      <c r="D20" s="16" t="s">
        <v>2245</v>
      </c>
      <c r="E20" s="16" t="s">
        <v>2426</v>
      </c>
      <c r="F20" s="25" t="s">
        <v>3247</v>
      </c>
    </row>
    <row r="21" spans="1:6">
      <c r="A21" s="81"/>
      <c r="B21" s="31" t="s">
        <v>8</v>
      </c>
      <c r="C21" s="32" t="s">
        <v>1975</v>
      </c>
      <c r="D21" s="16" t="s">
        <v>3246</v>
      </c>
      <c r="E21" s="16" t="s">
        <v>3289</v>
      </c>
      <c r="F21" s="25" t="s">
        <v>3245</v>
      </c>
    </row>
    <row r="22" spans="1:6">
      <c r="A22" s="81"/>
      <c r="B22" s="31" t="s">
        <v>8</v>
      </c>
      <c r="C22" s="32" t="s">
        <v>1645</v>
      </c>
      <c r="D22" s="20" t="s">
        <v>3244</v>
      </c>
      <c r="E22" s="24" t="s">
        <v>3290</v>
      </c>
      <c r="F22" s="25" t="s">
        <v>3243</v>
      </c>
    </row>
    <row r="23" spans="1:6">
      <c r="A23" s="81"/>
      <c r="B23" s="31" t="s">
        <v>8</v>
      </c>
      <c r="C23" s="32" t="s">
        <v>1645</v>
      </c>
      <c r="D23" s="16" t="s">
        <v>3242</v>
      </c>
      <c r="E23" s="16" t="s">
        <v>3291</v>
      </c>
      <c r="F23" s="25" t="s">
        <v>3241</v>
      </c>
    </row>
    <row r="24" spans="1:6">
      <c r="A24" s="81"/>
      <c r="B24" s="31" t="s">
        <v>8</v>
      </c>
      <c r="C24" s="36" t="s">
        <v>1648</v>
      </c>
      <c r="D24" s="16" t="s">
        <v>3240</v>
      </c>
      <c r="E24" s="16" t="s">
        <v>3292</v>
      </c>
      <c r="F24" s="25" t="s">
        <v>3239</v>
      </c>
    </row>
    <row r="25" spans="1:6">
      <c r="A25" s="81"/>
      <c r="B25" s="31" t="s">
        <v>8</v>
      </c>
      <c r="C25" s="32" t="s">
        <v>1898</v>
      </c>
      <c r="D25" s="20" t="s">
        <v>2322</v>
      </c>
      <c r="E25" s="20" t="s">
        <v>2471</v>
      </c>
      <c r="F25" s="25" t="str">
        <f ca="1">IFERROR(__xludf.DUMMYFUNCTION("GOOGLETRANSLATE(E564, ""ja"",""en"")"),"serious")</f>
        <v>serious</v>
      </c>
    </row>
    <row r="26" spans="1:6">
      <c r="A26" s="81"/>
      <c r="B26" s="31" t="s">
        <v>8</v>
      </c>
      <c r="C26" s="32" t="s">
        <v>1648</v>
      </c>
      <c r="D26" s="16" t="s">
        <v>2012</v>
      </c>
      <c r="E26" s="16" t="s">
        <v>2140</v>
      </c>
      <c r="F26" s="25" t="str">
        <f ca="1">IFERROR(__xludf.DUMMYFUNCTION("GOOGLETRANSLATE(E418, ""ja"",""en"")"),"convenience store")</f>
        <v>convenience store</v>
      </c>
    </row>
    <row r="27" spans="1:6">
      <c r="A27" s="81"/>
      <c r="B27" s="31" t="s">
        <v>8</v>
      </c>
      <c r="C27" s="32" t="s">
        <v>1648</v>
      </c>
      <c r="D27" s="20" t="s">
        <v>3238</v>
      </c>
      <c r="E27" s="16" t="s">
        <v>3293</v>
      </c>
      <c r="F27" s="25" t="s">
        <v>3716</v>
      </c>
    </row>
    <row r="28" spans="1:6">
      <c r="A28" s="81"/>
      <c r="B28" s="31" t="s">
        <v>8</v>
      </c>
      <c r="C28" s="32" t="s">
        <v>1648</v>
      </c>
      <c r="D28" s="16" t="s">
        <v>3237</v>
      </c>
      <c r="E28" s="16" t="s">
        <v>3294</v>
      </c>
      <c r="F28" s="25" t="s">
        <v>3236</v>
      </c>
    </row>
    <row r="29" spans="1:6">
      <c r="A29" s="81"/>
      <c r="B29" s="31" t="s">
        <v>8</v>
      </c>
      <c r="C29" s="32" t="s">
        <v>1648</v>
      </c>
      <c r="D29" s="16" t="s">
        <v>3235</v>
      </c>
      <c r="E29" s="16" t="s">
        <v>3295</v>
      </c>
      <c r="F29" s="25" t="s">
        <v>3234</v>
      </c>
    </row>
    <row r="30" spans="1:6">
      <c r="A30" s="81"/>
      <c r="B30" s="31" t="s">
        <v>8</v>
      </c>
      <c r="C30" s="32" t="s">
        <v>1655</v>
      </c>
      <c r="D30" s="20" t="s">
        <v>1905</v>
      </c>
      <c r="E30" s="20" t="s">
        <v>1499</v>
      </c>
      <c r="F30" s="25" t="str">
        <f ca="1">IFERROR(__xludf.DUMMYFUNCTION("GOOGLETRANSLATE(E719, ""ja"",""en"")"),"various")</f>
        <v>various</v>
      </c>
    </row>
    <row r="31" spans="1:6">
      <c r="A31" s="81"/>
      <c r="B31" s="31" t="s">
        <v>8</v>
      </c>
      <c r="C31" s="32" t="s">
        <v>1981</v>
      </c>
      <c r="D31" s="16" t="s">
        <v>3233</v>
      </c>
      <c r="E31" s="16" t="s">
        <v>3296</v>
      </c>
      <c r="F31" s="25" t="s">
        <v>3717</v>
      </c>
    </row>
    <row r="32" spans="1:6">
      <c r="A32" s="81"/>
      <c r="B32" s="31" t="s">
        <v>8</v>
      </c>
      <c r="C32" s="32" t="s">
        <v>1657</v>
      </c>
      <c r="D32" s="20" t="s">
        <v>3210</v>
      </c>
      <c r="E32" s="20" t="s">
        <v>3297</v>
      </c>
      <c r="F32" s="25" t="s">
        <v>2730</v>
      </c>
    </row>
    <row r="33" spans="1:6">
      <c r="A33" s="81"/>
      <c r="B33" s="31" t="s">
        <v>8</v>
      </c>
      <c r="C33" s="32" t="s">
        <v>1657</v>
      </c>
      <c r="D33" s="20" t="s">
        <v>3232</v>
      </c>
      <c r="E33" s="24" t="s">
        <v>3298</v>
      </c>
      <c r="F33" s="25" t="s">
        <v>3231</v>
      </c>
    </row>
    <row r="34" spans="1:6">
      <c r="A34" s="81"/>
      <c r="B34" s="31" t="s">
        <v>8</v>
      </c>
      <c r="C34" s="32" t="s">
        <v>1657</v>
      </c>
      <c r="D34" s="16" t="s">
        <v>3230</v>
      </c>
      <c r="E34" s="16" t="s">
        <v>3299</v>
      </c>
      <c r="F34" s="25" t="s">
        <v>3229</v>
      </c>
    </row>
    <row r="35" spans="1:6">
      <c r="A35" s="81"/>
      <c r="B35" s="31" t="s">
        <v>8</v>
      </c>
      <c r="C35" s="32" t="s">
        <v>1657</v>
      </c>
      <c r="D35" s="20" t="s">
        <v>3228</v>
      </c>
      <c r="E35" s="20" t="s">
        <v>3300</v>
      </c>
      <c r="F35" s="20" t="s">
        <v>3188</v>
      </c>
    </row>
    <row r="36" spans="1:6">
      <c r="A36" s="81"/>
      <c r="B36" s="31" t="s">
        <v>8</v>
      </c>
      <c r="C36" s="32" t="s">
        <v>1657</v>
      </c>
      <c r="D36" s="16" t="s">
        <v>3227</v>
      </c>
      <c r="E36" s="16" t="s">
        <v>3301</v>
      </c>
      <c r="F36" s="20" t="s">
        <v>3226</v>
      </c>
    </row>
    <row r="37" spans="1:6">
      <c r="A37" s="81"/>
      <c r="B37" s="31" t="s">
        <v>8</v>
      </c>
      <c r="C37" s="32" t="s">
        <v>1904</v>
      </c>
      <c r="D37" s="20" t="s">
        <v>3225</v>
      </c>
      <c r="E37" s="16" t="s">
        <v>3302</v>
      </c>
      <c r="F37" s="25" t="s">
        <v>3224</v>
      </c>
    </row>
    <row r="38" spans="1:6">
      <c r="A38" s="81"/>
      <c r="B38" s="31" t="s">
        <v>8</v>
      </c>
      <c r="C38" s="32" t="s">
        <v>1658</v>
      </c>
      <c r="D38" s="16" t="s">
        <v>3223</v>
      </c>
      <c r="E38" s="16" t="s">
        <v>3303</v>
      </c>
      <c r="F38" s="20" t="s">
        <v>3184</v>
      </c>
    </row>
    <row r="39" spans="1:6">
      <c r="A39" s="81"/>
      <c r="B39" s="31" t="s">
        <v>8</v>
      </c>
      <c r="C39" s="32" t="s">
        <v>1658</v>
      </c>
      <c r="D39" s="16" t="s">
        <v>3222</v>
      </c>
      <c r="E39" s="16" t="s">
        <v>3304</v>
      </c>
      <c r="F39" s="25" t="s">
        <v>3221</v>
      </c>
    </row>
    <row r="40" spans="1:6">
      <c r="A40" s="81"/>
      <c r="B40" s="31" t="s">
        <v>8</v>
      </c>
      <c r="C40" s="32" t="s">
        <v>1658</v>
      </c>
      <c r="D40" s="16" t="s">
        <v>2774</v>
      </c>
      <c r="E40" s="16" t="s">
        <v>2965</v>
      </c>
      <c r="F40" s="25" t="str">
        <f ca="1">IFERROR(__xludf.DUMMYFUNCTION("GOOGLETRANSLATE(E725, ""ja"",""en"")"),"product")</f>
        <v>product</v>
      </c>
    </row>
    <row r="41" spans="1:6">
      <c r="A41" s="81"/>
      <c r="B41" s="31" t="s">
        <v>8</v>
      </c>
      <c r="C41" s="36" t="s">
        <v>1658</v>
      </c>
      <c r="D41" s="20" t="s">
        <v>3220</v>
      </c>
      <c r="E41" s="20" t="s">
        <v>3305</v>
      </c>
      <c r="F41" s="25" t="s">
        <v>3141</v>
      </c>
    </row>
    <row r="42" spans="1:6">
      <c r="A42" s="81"/>
      <c r="B42" s="31" t="s">
        <v>8</v>
      </c>
      <c r="C42" s="32" t="s">
        <v>1908</v>
      </c>
      <c r="D42" s="16" t="s">
        <v>3219</v>
      </c>
      <c r="E42" s="16" t="s">
        <v>3306</v>
      </c>
      <c r="F42" s="25" t="s">
        <v>3218</v>
      </c>
    </row>
    <row r="43" spans="1:6">
      <c r="A43" s="81"/>
      <c r="B43" s="31" t="s">
        <v>8</v>
      </c>
      <c r="C43" s="32" t="s">
        <v>1661</v>
      </c>
      <c r="D43" s="16" t="s">
        <v>3217</v>
      </c>
      <c r="E43" s="16" t="s">
        <v>3307</v>
      </c>
      <c r="F43" s="25" t="s">
        <v>3216</v>
      </c>
    </row>
    <row r="44" spans="1:6">
      <c r="A44" s="81"/>
      <c r="B44" s="31" t="s">
        <v>8</v>
      </c>
      <c r="C44" s="32" t="s">
        <v>1661</v>
      </c>
      <c r="D44" s="20" t="s">
        <v>3215</v>
      </c>
      <c r="E44" s="20" t="s">
        <v>3308</v>
      </c>
      <c r="F44" s="25" t="s">
        <v>910</v>
      </c>
    </row>
    <row r="45" spans="1:6">
      <c r="A45" s="81"/>
      <c r="B45" s="31" t="s">
        <v>8</v>
      </c>
      <c r="C45" s="32" t="s">
        <v>1661</v>
      </c>
      <c r="D45" s="20" t="s">
        <v>3214</v>
      </c>
      <c r="E45" s="16" t="s">
        <v>3309</v>
      </c>
      <c r="F45" s="25" t="s">
        <v>3213</v>
      </c>
    </row>
    <row r="46" spans="1:6">
      <c r="A46" s="81"/>
      <c r="B46" s="31" t="s">
        <v>8</v>
      </c>
      <c r="C46" s="32" t="s">
        <v>1909</v>
      </c>
      <c r="D46" s="20" t="s">
        <v>3212</v>
      </c>
      <c r="E46" s="20" t="s">
        <v>3310</v>
      </c>
      <c r="F46" s="20" t="s">
        <v>3145</v>
      </c>
    </row>
    <row r="47" spans="1:6">
      <c r="A47" s="81"/>
      <c r="B47" s="31" t="s">
        <v>8</v>
      </c>
      <c r="C47" s="32" t="s">
        <v>1663</v>
      </c>
      <c r="D47" s="16" t="s">
        <v>3211</v>
      </c>
      <c r="E47" s="16" t="s">
        <v>3311</v>
      </c>
      <c r="F47" s="25" t="str">
        <f ca="1">IFERROR(__xludf.DUMMYFUNCTION("GOOGLETRANSLATE(E196, ""ja"",""en"")"),"responsibility")</f>
        <v>responsibility</v>
      </c>
    </row>
    <row r="48" spans="1:6">
      <c r="A48" s="81"/>
      <c r="B48" s="31" t="s">
        <v>8</v>
      </c>
      <c r="C48" s="32" t="s">
        <v>1663</v>
      </c>
      <c r="D48" s="20" t="s">
        <v>3210</v>
      </c>
      <c r="E48" s="20" t="s">
        <v>3297</v>
      </c>
      <c r="F48" s="25" t="s">
        <v>2730</v>
      </c>
    </row>
    <row r="49" spans="1:6">
      <c r="A49" s="81"/>
      <c r="B49" s="31" t="s">
        <v>8</v>
      </c>
      <c r="C49" s="32" t="s">
        <v>2001</v>
      </c>
      <c r="D49" s="20" t="s">
        <v>1692</v>
      </c>
      <c r="E49" s="24" t="s">
        <v>3312</v>
      </c>
      <c r="F49" s="20" t="s">
        <v>3209</v>
      </c>
    </row>
    <row r="50" spans="1:6">
      <c r="A50" s="81"/>
      <c r="B50" s="31" t="s">
        <v>8</v>
      </c>
      <c r="C50" s="32" t="s">
        <v>1666</v>
      </c>
      <c r="D50" s="20" t="s">
        <v>3208</v>
      </c>
      <c r="E50" s="24" t="s">
        <v>3313</v>
      </c>
      <c r="F50" s="20" t="s">
        <v>3207</v>
      </c>
    </row>
    <row r="51" spans="1:6">
      <c r="A51" s="81"/>
      <c r="B51" s="31" t="s">
        <v>8</v>
      </c>
      <c r="C51" s="32" t="s">
        <v>1666</v>
      </c>
      <c r="D51" s="20" t="s">
        <v>3206</v>
      </c>
      <c r="E51" s="16" t="s">
        <v>3314</v>
      </c>
      <c r="F51" s="25" t="str">
        <f ca="1">IFERROR(__xludf.DUMMYFUNCTION("GOOGLETRANSLATE(E641, ""ja"",""en"")"),"company")</f>
        <v>company</v>
      </c>
    </row>
    <row r="52" spans="1:6">
      <c r="A52" s="81"/>
      <c r="B52" s="31" t="s">
        <v>8</v>
      </c>
      <c r="C52" s="32" t="s">
        <v>1671</v>
      </c>
      <c r="D52" s="16" t="s">
        <v>3205</v>
      </c>
      <c r="E52" s="16" t="s">
        <v>3315</v>
      </c>
      <c r="F52" s="25" t="str">
        <f ca="1">IFERROR(__xludf.DUMMYFUNCTION("GOOGLETRANSLATE(E672, ""ja"",""en"")"),"people")</f>
        <v>people</v>
      </c>
    </row>
    <row r="53" spans="1:6">
      <c r="A53" s="81"/>
      <c r="B53" s="31" t="s">
        <v>8</v>
      </c>
      <c r="C53" s="32" t="s">
        <v>1671</v>
      </c>
      <c r="D53" s="16" t="s">
        <v>3204</v>
      </c>
      <c r="E53" s="16" t="s">
        <v>2443</v>
      </c>
      <c r="F53" s="25" t="s">
        <v>3203</v>
      </c>
    </row>
    <row r="54" spans="1:6">
      <c r="A54" s="81"/>
      <c r="B54" s="31" t="s">
        <v>8</v>
      </c>
      <c r="C54" s="36" t="s">
        <v>1671</v>
      </c>
      <c r="D54" s="20" t="s">
        <v>3202</v>
      </c>
      <c r="E54" s="20" t="s">
        <v>3316</v>
      </c>
      <c r="F54" s="25" t="s">
        <v>3201</v>
      </c>
    </row>
    <row r="55" spans="1:6">
      <c r="A55" s="81"/>
      <c r="B55" s="31" t="s">
        <v>8</v>
      </c>
      <c r="C55" s="32" t="s">
        <v>1917</v>
      </c>
      <c r="D55" s="16" t="s">
        <v>3200</v>
      </c>
      <c r="E55" s="16" t="s">
        <v>3317</v>
      </c>
      <c r="F55" s="25" t="str">
        <f ca="1">IFERROR(__xludf.DUMMYFUNCTION("GOOGLETRANSLATE(E698, ""ja"",""en"")"),"expense")</f>
        <v>expense</v>
      </c>
    </row>
    <row r="56" spans="1:6">
      <c r="A56" s="81"/>
      <c r="B56" s="31" t="s">
        <v>8</v>
      </c>
      <c r="C56" s="36" t="s">
        <v>1740</v>
      </c>
      <c r="D56" s="20" t="s">
        <v>3199</v>
      </c>
      <c r="E56" s="20" t="s">
        <v>3318</v>
      </c>
      <c r="F56" s="25" t="s">
        <v>3198</v>
      </c>
    </row>
    <row r="57" spans="1:6">
      <c r="A57" s="81"/>
      <c r="B57" s="31" t="s">
        <v>8</v>
      </c>
      <c r="C57" s="32" t="s">
        <v>1740</v>
      </c>
      <c r="D57" s="20" t="s">
        <v>3197</v>
      </c>
      <c r="E57" s="20" t="s">
        <v>838</v>
      </c>
      <c r="F57" s="20" t="s">
        <v>3196</v>
      </c>
    </row>
    <row r="58" spans="1:6">
      <c r="A58" s="81"/>
      <c r="B58" s="31" t="s">
        <v>8</v>
      </c>
      <c r="C58" s="32" t="s">
        <v>1740</v>
      </c>
      <c r="D58" s="16" t="s">
        <v>3195</v>
      </c>
      <c r="E58" s="16" t="s">
        <v>3037</v>
      </c>
      <c r="F58" s="25" t="str">
        <f ca="1">IFERROR(__xludf.DUMMYFUNCTION("GOOGLETRANSLATE(E640, ""ja"",""en"")"),"environment")</f>
        <v>environment</v>
      </c>
    </row>
    <row r="59" spans="1:6">
      <c r="A59" s="81"/>
      <c r="B59" s="31" t="s">
        <v>8</v>
      </c>
      <c r="C59" s="32" t="s">
        <v>1740</v>
      </c>
      <c r="D59" s="16" t="s">
        <v>3194</v>
      </c>
      <c r="E59" s="16" t="s">
        <v>3319</v>
      </c>
      <c r="F59" s="20" t="s">
        <v>2910</v>
      </c>
    </row>
    <row r="60" spans="1:6">
      <c r="A60" s="81"/>
      <c r="B60" s="31" t="s">
        <v>8</v>
      </c>
      <c r="C60" s="32" t="s">
        <v>1923</v>
      </c>
      <c r="D60" s="16" t="s">
        <v>3193</v>
      </c>
      <c r="E60" s="16" t="s">
        <v>3320</v>
      </c>
      <c r="F60" s="25" t="str">
        <f ca="1">IFERROR(__xludf.DUMMYFUNCTION("GOOGLETRANSLATE(E675, ""ja"",""en"")"),"concept")</f>
        <v>concept</v>
      </c>
    </row>
    <row r="61" spans="1:6">
      <c r="A61" s="81"/>
      <c r="B61" s="31" t="s">
        <v>8</v>
      </c>
      <c r="C61" s="32" t="s">
        <v>1673</v>
      </c>
      <c r="D61" s="16" t="s">
        <v>3192</v>
      </c>
      <c r="E61" s="16" t="s">
        <v>3321</v>
      </c>
      <c r="F61" s="25" t="str">
        <f ca="1">IFERROR(__xludf.DUMMYFUNCTION("GOOGLETRANSLATE(E676, ""ja"",""en"")"),"smartphone")</f>
        <v>smartphone</v>
      </c>
    </row>
    <row r="62" spans="1:6">
      <c r="A62" s="81"/>
      <c r="B62" s="31" t="s">
        <v>8</v>
      </c>
      <c r="C62" s="32" t="s">
        <v>1673</v>
      </c>
      <c r="D62" s="20" t="s">
        <v>3191</v>
      </c>
      <c r="E62" s="16" t="s">
        <v>3322</v>
      </c>
      <c r="F62" s="25" t="s">
        <v>3190</v>
      </c>
    </row>
    <row r="63" spans="1:6">
      <c r="A63" s="81"/>
      <c r="B63" s="31" t="s">
        <v>8</v>
      </c>
      <c r="C63" s="32" t="s">
        <v>1925</v>
      </c>
      <c r="D63" s="20" t="s">
        <v>3189</v>
      </c>
      <c r="E63" s="16" t="s">
        <v>3323</v>
      </c>
      <c r="F63" s="20" t="s">
        <v>3719</v>
      </c>
    </row>
    <row r="64" spans="1:6">
      <c r="A64" s="81"/>
      <c r="B64" s="31" t="s">
        <v>8</v>
      </c>
      <c r="C64" s="32" t="s">
        <v>1675</v>
      </c>
      <c r="D64" s="16" t="s">
        <v>3187</v>
      </c>
      <c r="E64" s="16" t="s">
        <v>3324</v>
      </c>
      <c r="F64" s="25" t="s">
        <v>3186</v>
      </c>
    </row>
    <row r="65" spans="1:6">
      <c r="A65" s="81"/>
      <c r="B65" s="31" t="s">
        <v>8</v>
      </c>
      <c r="C65" s="32" t="s">
        <v>1675</v>
      </c>
      <c r="D65" s="16" t="s">
        <v>3185</v>
      </c>
      <c r="E65" s="16" t="s">
        <v>3325</v>
      </c>
      <c r="F65" s="25" t="s">
        <v>3718</v>
      </c>
    </row>
    <row r="66" spans="1:6">
      <c r="A66" s="81"/>
      <c r="B66" s="31" t="s">
        <v>8</v>
      </c>
      <c r="C66" s="36" t="s">
        <v>1754</v>
      </c>
      <c r="D66" s="20" t="s">
        <v>3183</v>
      </c>
      <c r="E66" s="20" t="s">
        <v>3326</v>
      </c>
      <c r="F66" s="25" t="s">
        <v>3182</v>
      </c>
    </row>
    <row r="67" spans="1:6">
      <c r="A67" s="81"/>
      <c r="B67" s="31" t="s">
        <v>8</v>
      </c>
      <c r="C67" s="36" t="s">
        <v>1754</v>
      </c>
      <c r="D67" s="20" t="s">
        <v>3181</v>
      </c>
      <c r="E67" s="20" t="s">
        <v>3327</v>
      </c>
      <c r="F67" s="25" t="s">
        <v>3180</v>
      </c>
    </row>
    <row r="68" spans="1:6">
      <c r="A68" s="81"/>
      <c r="B68" s="31" t="s">
        <v>8</v>
      </c>
      <c r="C68" s="36" t="s">
        <v>1754</v>
      </c>
      <c r="D68" s="20" t="s">
        <v>3179</v>
      </c>
      <c r="E68" s="20" t="s">
        <v>3328</v>
      </c>
      <c r="F68" s="25" t="s">
        <v>3178</v>
      </c>
    </row>
    <row r="69" spans="1:6">
      <c r="A69" s="81"/>
      <c r="B69" s="31" t="s">
        <v>8</v>
      </c>
      <c r="C69" s="36" t="s">
        <v>2031</v>
      </c>
      <c r="D69" s="20" t="s">
        <v>3177</v>
      </c>
      <c r="E69" s="16" t="s">
        <v>3329</v>
      </c>
      <c r="F69" s="25" t="str">
        <f ca="1">IFERROR(__xludf.DUMMYFUNCTION("GOOGLETRANSLATE(E695, ""ja"",""en"")"),"reduction")</f>
        <v>reduction</v>
      </c>
    </row>
    <row r="70" spans="1:6">
      <c r="A70" s="81"/>
      <c r="B70" s="31" t="s">
        <v>8</v>
      </c>
      <c r="C70" s="36" t="s">
        <v>1761</v>
      </c>
      <c r="D70" s="16" t="s">
        <v>3176</v>
      </c>
      <c r="E70" s="16" t="s">
        <v>3330</v>
      </c>
      <c r="F70" s="25" t="s">
        <v>3720</v>
      </c>
    </row>
    <row r="71" spans="1:6">
      <c r="A71" s="81"/>
      <c r="B71" s="31" t="s">
        <v>8</v>
      </c>
      <c r="C71" s="32" t="s">
        <v>2031</v>
      </c>
      <c r="D71" s="20" t="s">
        <v>3175</v>
      </c>
      <c r="E71" s="20" t="s">
        <v>3331</v>
      </c>
      <c r="F71" s="20" t="s">
        <v>3174</v>
      </c>
    </row>
    <row r="72" spans="1:6">
      <c r="A72" s="81"/>
      <c r="B72" s="31" t="s">
        <v>8</v>
      </c>
      <c r="C72" s="36" t="s">
        <v>1768</v>
      </c>
      <c r="D72" s="16" t="s">
        <v>3173</v>
      </c>
      <c r="E72" s="16" t="s">
        <v>3332</v>
      </c>
      <c r="F72" s="20" t="s">
        <v>3072</v>
      </c>
    </row>
    <row r="73" spans="1:6">
      <c r="A73" s="81"/>
      <c r="B73" s="31" t="s">
        <v>2254</v>
      </c>
      <c r="C73" s="32" t="s">
        <v>2176</v>
      </c>
      <c r="D73" s="16" t="s">
        <v>1869</v>
      </c>
      <c r="E73" s="16" t="s">
        <v>2054</v>
      </c>
      <c r="F73" s="25" t="str">
        <f ca="1">IFERROR(__xludf.DUMMYFUNCTION("GOOGLETRANSLATE(E432, ""ja"",""en"")"),"food")</f>
        <v>food</v>
      </c>
    </row>
    <row r="74" spans="1:6">
      <c r="A74" s="81"/>
      <c r="B74" s="31" t="s">
        <v>2254</v>
      </c>
      <c r="C74" s="32" t="s">
        <v>2176</v>
      </c>
      <c r="D74" s="16" t="s">
        <v>3172</v>
      </c>
      <c r="E74" s="16" t="s">
        <v>3333</v>
      </c>
      <c r="F74" s="25" t="str">
        <f ca="1">IFERROR(__xludf.DUMMYFUNCTION("GOOGLETRANSLATE(E738, ""ja"",""en"")"),"social business")</f>
        <v>social business</v>
      </c>
    </row>
    <row r="75" spans="1:6">
      <c r="A75" s="81"/>
      <c r="B75" s="31" t="s">
        <v>83</v>
      </c>
      <c r="C75" s="32" t="s">
        <v>2176</v>
      </c>
      <c r="D75" s="16" t="s">
        <v>3171</v>
      </c>
      <c r="E75" s="16" t="s">
        <v>3334</v>
      </c>
      <c r="F75" s="25" t="s">
        <v>3170</v>
      </c>
    </row>
    <row r="76" spans="1:6">
      <c r="A76" s="81"/>
      <c r="B76" s="31" t="s">
        <v>83</v>
      </c>
      <c r="C76" s="32" t="s">
        <v>2176</v>
      </c>
      <c r="D76" s="16" t="s">
        <v>3169</v>
      </c>
      <c r="E76" s="16" t="s">
        <v>3335</v>
      </c>
      <c r="F76" s="25" t="s">
        <v>3168</v>
      </c>
    </row>
    <row r="77" spans="1:6">
      <c r="A77" s="81"/>
      <c r="B77" s="31" t="s">
        <v>83</v>
      </c>
      <c r="C77" s="32" t="s">
        <v>1872</v>
      </c>
      <c r="D77" s="20" t="s">
        <v>3167</v>
      </c>
      <c r="E77" s="20" t="s">
        <v>3336</v>
      </c>
      <c r="F77" s="25" t="s">
        <v>3166</v>
      </c>
    </row>
    <row r="78" spans="1:6">
      <c r="A78" s="81"/>
      <c r="B78" s="31" t="s">
        <v>83</v>
      </c>
      <c r="C78" s="32" t="s">
        <v>1872</v>
      </c>
      <c r="D78" s="20" t="s">
        <v>3165</v>
      </c>
      <c r="E78" s="20" t="s">
        <v>3337</v>
      </c>
      <c r="F78" s="20" t="s">
        <v>3164</v>
      </c>
    </row>
    <row r="79" spans="1:6" ht="38">
      <c r="A79" s="81"/>
      <c r="B79" s="31" t="s">
        <v>83</v>
      </c>
      <c r="C79" s="32" t="s">
        <v>1937</v>
      </c>
      <c r="D79" s="16" t="s">
        <v>3163</v>
      </c>
      <c r="E79" s="16" t="s">
        <v>3338</v>
      </c>
      <c r="F79" s="25" t="s">
        <v>3162</v>
      </c>
    </row>
    <row r="80" spans="1:6" ht="21">
      <c r="A80" s="81"/>
      <c r="B80" s="31" t="s">
        <v>83</v>
      </c>
      <c r="C80" s="32" t="s">
        <v>1876</v>
      </c>
      <c r="D80" s="20" t="s">
        <v>3161</v>
      </c>
      <c r="E80" s="16" t="s">
        <v>3328</v>
      </c>
      <c r="F80" s="45" t="s">
        <v>699</v>
      </c>
    </row>
    <row r="81" spans="1:6">
      <c r="A81" s="81"/>
      <c r="B81" s="31" t="s">
        <v>83</v>
      </c>
      <c r="C81" s="36" t="s">
        <v>1621</v>
      </c>
      <c r="D81" s="20" t="s">
        <v>3160</v>
      </c>
      <c r="E81" s="20" t="s">
        <v>3339</v>
      </c>
      <c r="F81" s="25" t="str">
        <f ca="1">IFERROR(__xludf.DUMMYFUNCTION("GOOGLETRANSLATE(E770, ""ja"",""en"")"),"method")</f>
        <v>method</v>
      </c>
    </row>
    <row r="82" spans="1:6">
      <c r="A82" s="81"/>
      <c r="B82" s="31" t="s">
        <v>83</v>
      </c>
      <c r="C82" s="32" t="s">
        <v>1621</v>
      </c>
      <c r="D82" s="16" t="s">
        <v>3159</v>
      </c>
      <c r="E82" s="16" t="s">
        <v>3340</v>
      </c>
      <c r="F82" s="25" t="str">
        <f ca="1">IFERROR(__xludf.DUMMYFUNCTION("GOOGLETRANSLATE(E796, ""ja"",""en"")"),"to use")</f>
        <v>to use</v>
      </c>
    </row>
    <row r="83" spans="1:6">
      <c r="A83" s="81"/>
      <c r="B83" s="31" t="s">
        <v>83</v>
      </c>
      <c r="C83" s="32" t="s">
        <v>1621</v>
      </c>
      <c r="D83" s="16" t="s">
        <v>3158</v>
      </c>
      <c r="E83" s="16" t="s">
        <v>3341</v>
      </c>
      <c r="F83" s="25" t="str">
        <f ca="1">IFERROR(__xludf.DUMMYFUNCTION("GOOGLETRANSLATE(E771, ""ja"",""en"")"),"poverty")</f>
        <v>poverty</v>
      </c>
    </row>
    <row r="84" spans="1:6">
      <c r="A84" s="81"/>
      <c r="B84" s="31" t="s">
        <v>83</v>
      </c>
      <c r="C84" s="32" t="s">
        <v>1621</v>
      </c>
      <c r="D84" s="16" t="s">
        <v>3157</v>
      </c>
      <c r="E84" s="16" t="s">
        <v>3342</v>
      </c>
      <c r="F84" s="25" t="str">
        <f ca="1">IFERROR(__xludf.DUMMYFUNCTION("GOOGLETRANSLATE(E797, ""ja"",""en"")"),"discrimination")</f>
        <v>discrimination</v>
      </c>
    </row>
    <row r="85" spans="1:6">
      <c r="A85" s="81"/>
      <c r="B85" s="31" t="s">
        <v>83</v>
      </c>
      <c r="C85" s="32" t="s">
        <v>1621</v>
      </c>
      <c r="D85" s="20" t="s">
        <v>3156</v>
      </c>
      <c r="E85" s="16" t="s">
        <v>3306</v>
      </c>
      <c r="F85" s="25" t="str">
        <f ca="1">IFERROR(__xludf.DUMMYFUNCTION("GOOGLETRANSLATE(E498, ""ja"",""en"")"),"to solve")</f>
        <v>to solve</v>
      </c>
    </row>
    <row r="86" spans="1:6">
      <c r="A86" s="81"/>
      <c r="B86" s="31" t="s">
        <v>83</v>
      </c>
      <c r="C86" s="32" t="s">
        <v>1945</v>
      </c>
      <c r="D86" s="16" t="s">
        <v>3155</v>
      </c>
      <c r="E86" s="16" t="s">
        <v>3343</v>
      </c>
      <c r="F86" s="25" t="str">
        <f ca="1">IFERROR(__xludf.DUMMYFUNCTION("GOOGLETRANSLATE(E683, ""ja"",""en"")"),"business")</f>
        <v>business</v>
      </c>
    </row>
    <row r="87" spans="1:6">
      <c r="A87" s="81"/>
      <c r="B87" s="31" t="s">
        <v>83</v>
      </c>
      <c r="C87" s="32" t="s">
        <v>1626</v>
      </c>
      <c r="D87" s="16" t="s">
        <v>3154</v>
      </c>
      <c r="E87" s="16" t="s">
        <v>905</v>
      </c>
      <c r="F87" s="25" t="s">
        <v>1441</v>
      </c>
    </row>
    <row r="88" spans="1:6">
      <c r="A88" s="81"/>
      <c r="B88" s="31" t="s">
        <v>83</v>
      </c>
      <c r="C88" s="32" t="s">
        <v>1626</v>
      </c>
      <c r="D88" s="20" t="s">
        <v>2943</v>
      </c>
      <c r="E88" s="16" t="s">
        <v>3053</v>
      </c>
      <c r="F88" s="25" t="s">
        <v>2944</v>
      </c>
    </row>
    <row r="89" spans="1:6" ht="38">
      <c r="A89" s="81"/>
      <c r="B89" s="31" t="s">
        <v>83</v>
      </c>
      <c r="C89" s="32" t="s">
        <v>1626</v>
      </c>
      <c r="D89" s="16" t="s">
        <v>3153</v>
      </c>
      <c r="E89" s="16" t="s">
        <v>3344</v>
      </c>
      <c r="F89" s="20" t="s">
        <v>3152</v>
      </c>
    </row>
    <row r="90" spans="1:6">
      <c r="A90" s="81"/>
      <c r="B90" s="31" t="s">
        <v>83</v>
      </c>
      <c r="C90" s="32" t="s">
        <v>1952</v>
      </c>
      <c r="D90" s="16" t="s">
        <v>3151</v>
      </c>
      <c r="E90" s="16" t="s">
        <v>3345</v>
      </c>
      <c r="F90" s="25" t="str">
        <f ca="1">IFERROR(__xludf.DUMMYFUNCTION("GOOGLETRANSLATE(E801, ""ja"",""en"")"),"characteristic")</f>
        <v>characteristic</v>
      </c>
    </row>
    <row r="91" spans="1:6">
      <c r="A91" s="81"/>
      <c r="B91" s="31" t="s">
        <v>83</v>
      </c>
      <c r="C91" s="32" t="s">
        <v>1629</v>
      </c>
      <c r="D91" s="16" t="s">
        <v>2340</v>
      </c>
      <c r="E91" s="16" t="s">
        <v>2478</v>
      </c>
      <c r="F91" s="20" t="s">
        <v>2341</v>
      </c>
    </row>
    <row r="92" spans="1:6">
      <c r="A92" s="81"/>
      <c r="B92" s="31" t="s">
        <v>83</v>
      </c>
      <c r="C92" s="32" t="s">
        <v>1629</v>
      </c>
      <c r="D92" s="20" t="s">
        <v>3150</v>
      </c>
      <c r="E92" s="16" t="s">
        <v>3346</v>
      </c>
      <c r="F92" s="25" t="s">
        <v>3149</v>
      </c>
    </row>
    <row r="93" spans="1:6">
      <c r="A93" s="81"/>
      <c r="B93" s="31" t="s">
        <v>83</v>
      </c>
      <c r="C93" s="32" t="s">
        <v>1629</v>
      </c>
      <c r="D93" s="16" t="s">
        <v>3148</v>
      </c>
      <c r="E93" s="16" t="s">
        <v>3347</v>
      </c>
      <c r="F93" s="25" t="s">
        <v>3147</v>
      </c>
    </row>
    <row r="94" spans="1:6">
      <c r="A94" s="81"/>
      <c r="B94" s="31" t="s">
        <v>83</v>
      </c>
      <c r="C94" s="32" t="s">
        <v>1629</v>
      </c>
      <c r="D94" s="20" t="s">
        <v>3146</v>
      </c>
      <c r="E94" s="20" t="s">
        <v>3310</v>
      </c>
      <c r="F94" s="20" t="s">
        <v>3145</v>
      </c>
    </row>
    <row r="95" spans="1:6">
      <c r="A95" s="81"/>
      <c r="B95" s="31" t="s">
        <v>83</v>
      </c>
      <c r="C95" s="32" t="s">
        <v>1891</v>
      </c>
      <c r="D95" s="20" t="s">
        <v>3144</v>
      </c>
      <c r="E95" s="16" t="s">
        <v>3348</v>
      </c>
      <c r="F95" s="25" t="s">
        <v>3143</v>
      </c>
    </row>
    <row r="96" spans="1:6">
      <c r="A96" s="81"/>
      <c r="B96" s="31" t="s">
        <v>83</v>
      </c>
      <c r="C96" s="32" t="s">
        <v>1633</v>
      </c>
      <c r="D96" s="16" t="s">
        <v>2774</v>
      </c>
      <c r="E96" s="16" t="s">
        <v>2965</v>
      </c>
      <c r="F96" s="25" t="str">
        <f ca="1">IFERROR(__xludf.DUMMYFUNCTION("GOOGLETRANSLATE(E725, ""ja"",""en"")"),"product")</f>
        <v>product</v>
      </c>
    </row>
    <row r="97" spans="1:6">
      <c r="A97" s="81"/>
      <c r="B97" s="31" t="s">
        <v>83</v>
      </c>
      <c r="C97" s="32" t="s">
        <v>1633</v>
      </c>
      <c r="D97" s="16" t="s">
        <v>2835</v>
      </c>
      <c r="E97" s="16" t="s">
        <v>2998</v>
      </c>
      <c r="F97" s="25" t="str">
        <f ca="1">IFERROR(__xludf.DUMMYFUNCTION("GOOGLETRANSLATE(E804, ""ja"",""en"")"),"service")</f>
        <v>service</v>
      </c>
    </row>
    <row r="98" spans="1:6">
      <c r="A98" s="81"/>
      <c r="B98" s="31" t="s">
        <v>83</v>
      </c>
      <c r="C98" s="32" t="s">
        <v>1633</v>
      </c>
      <c r="D98" s="16" t="s">
        <v>3142</v>
      </c>
      <c r="E98" s="16" t="s">
        <v>3305</v>
      </c>
      <c r="F98" s="25" t="s">
        <v>3141</v>
      </c>
    </row>
    <row r="99" spans="1:6">
      <c r="A99" s="81"/>
      <c r="B99" s="31" t="s">
        <v>83</v>
      </c>
      <c r="C99" s="32" t="s">
        <v>1633</v>
      </c>
      <c r="D99" s="20" t="s">
        <v>3140</v>
      </c>
      <c r="E99" s="20" t="s">
        <v>3308</v>
      </c>
      <c r="F99" s="25" t="s">
        <v>3139</v>
      </c>
    </row>
    <row r="100" spans="1:6">
      <c r="A100" s="81"/>
      <c r="B100" s="31" t="s">
        <v>83</v>
      </c>
      <c r="C100" s="32" t="s">
        <v>1893</v>
      </c>
      <c r="D100" s="16" t="s">
        <v>1973</v>
      </c>
      <c r="E100" s="16" t="s">
        <v>2110</v>
      </c>
      <c r="F100" s="25" t="str">
        <f ca="1">IFERROR(__xludf.DUMMYFUNCTION("GOOGLETRANSLATE(E806, ""ja"",""en"")"),"activity")</f>
        <v>activity</v>
      </c>
    </row>
    <row r="101" spans="1:6">
      <c r="A101" s="81"/>
      <c r="B101" s="31" t="s">
        <v>83</v>
      </c>
      <c r="C101" s="32" t="s">
        <v>1638</v>
      </c>
      <c r="D101" s="16" t="s">
        <v>3138</v>
      </c>
      <c r="E101" s="16" t="s">
        <v>3349</v>
      </c>
      <c r="F101" s="25" t="str">
        <f ca="1">IFERROR(__xludf.DUMMYFUNCTION("GOOGLETRANSLATE(E483, ""ja"",""en"")"),"to spread")</f>
        <v>to spread</v>
      </c>
    </row>
    <row r="102" spans="1:6">
      <c r="A102" s="81"/>
      <c r="B102" s="31" t="s">
        <v>83</v>
      </c>
      <c r="C102" s="32" t="s">
        <v>1962</v>
      </c>
      <c r="D102" s="16" t="s">
        <v>3137</v>
      </c>
      <c r="E102" s="16" t="s">
        <v>3350</v>
      </c>
      <c r="F102" s="25" t="s">
        <v>3136</v>
      </c>
    </row>
    <row r="103" spans="1:6">
      <c r="A103" s="81"/>
      <c r="B103" s="31" t="s">
        <v>83</v>
      </c>
      <c r="C103" s="32" t="s">
        <v>1640</v>
      </c>
      <c r="D103" s="20" t="s">
        <v>2328</v>
      </c>
      <c r="E103" s="20" t="s">
        <v>2474</v>
      </c>
      <c r="F103" s="25" t="str">
        <f ca="1">IFERROR(__xludf.DUMMYFUNCTION("GOOGLETRANSLATE(E741, ""ja"",""en"")"),"to produce")</f>
        <v>to produce</v>
      </c>
    </row>
    <row r="104" spans="1:6">
      <c r="A104" s="81"/>
      <c r="B104" s="31" t="s">
        <v>83</v>
      </c>
      <c r="C104" s="32" t="s">
        <v>1640</v>
      </c>
      <c r="D104" s="16" t="s">
        <v>3135</v>
      </c>
      <c r="E104" s="16" t="s">
        <v>3351</v>
      </c>
      <c r="F104" s="25" t="s">
        <v>3721</v>
      </c>
    </row>
    <row r="105" spans="1:6">
      <c r="A105" s="81"/>
      <c r="B105" s="31" t="s">
        <v>83</v>
      </c>
      <c r="C105" s="32" t="s">
        <v>1968</v>
      </c>
      <c r="D105" s="16" t="s">
        <v>3134</v>
      </c>
      <c r="E105" s="16" t="s">
        <v>3352</v>
      </c>
      <c r="F105" s="25" t="str">
        <f ca="1">IFERROR(__xludf.DUMMYFUNCTION("GOOGLETRANSLATE(E809, ""ja"",""en"")"),"century")</f>
        <v>century</v>
      </c>
    </row>
    <row r="106" spans="1:6">
      <c r="A106" s="81"/>
      <c r="B106" s="31" t="s">
        <v>83</v>
      </c>
      <c r="C106" s="32" t="s">
        <v>1642</v>
      </c>
      <c r="D106" s="20" t="s">
        <v>3133</v>
      </c>
      <c r="E106" s="24" t="s">
        <v>3353</v>
      </c>
      <c r="F106" s="25" t="s">
        <v>3132</v>
      </c>
    </row>
    <row r="107" spans="1:6">
      <c r="A107" s="81"/>
      <c r="B107" s="31" t="s">
        <v>83</v>
      </c>
      <c r="C107" s="32" t="s">
        <v>1642</v>
      </c>
      <c r="D107" s="20" t="s">
        <v>3131</v>
      </c>
      <c r="E107" s="16" t="s">
        <v>3354</v>
      </c>
      <c r="F107" s="25" t="str">
        <f ca="1">IFERROR(__xludf.DUMMYFUNCTION("GOOGLETRANSLATE(E743, ""ja"",""en"")"),"Florence Nightingale")</f>
        <v>Florence Nightingale</v>
      </c>
    </row>
    <row r="108" spans="1:6">
      <c r="A108" s="81"/>
      <c r="B108" s="31" t="s">
        <v>83</v>
      </c>
      <c r="C108" s="32" t="s">
        <v>1642</v>
      </c>
      <c r="D108" s="16" t="s">
        <v>2260</v>
      </c>
      <c r="E108" s="16" t="s">
        <v>2436</v>
      </c>
      <c r="F108" s="25" t="str">
        <f ca="1">IFERROR(__xludf.DUMMYFUNCTION("GOOGLETRANSLATE(E744, ""ja"",""en"")"),"volunteer")</f>
        <v>volunteer</v>
      </c>
    </row>
    <row r="109" spans="1:6">
      <c r="A109" s="81"/>
      <c r="B109" s="31" t="s">
        <v>83</v>
      </c>
      <c r="C109" s="32" t="s">
        <v>1642</v>
      </c>
      <c r="D109" s="16" t="s">
        <v>3130</v>
      </c>
      <c r="E109" s="16" t="s">
        <v>3355</v>
      </c>
      <c r="F109" s="25" t="str">
        <f ca="1">IFERROR(__xludf.DUMMYFUNCTION("GOOGLETRANSLATE(E320, ""ja"",""en"")"),"only")</f>
        <v>only</v>
      </c>
    </row>
    <row r="110" spans="1:6">
      <c r="A110" s="81"/>
      <c r="B110" s="31" t="s">
        <v>83</v>
      </c>
      <c r="C110" s="32" t="s">
        <v>1975</v>
      </c>
      <c r="D110" s="16" t="s">
        <v>2251</v>
      </c>
      <c r="E110" s="16" t="s">
        <v>2432</v>
      </c>
      <c r="F110" s="25" t="str">
        <f ca="1">IFERROR(__xludf.DUMMYFUNCTION("GOOGLETRANSLATE(E541, ""ja"",""en"")"),"to support")</f>
        <v>to support</v>
      </c>
    </row>
    <row r="111" spans="1:6">
      <c r="A111" s="81"/>
      <c r="B111" s="31" t="s">
        <v>83</v>
      </c>
      <c r="C111" s="32" t="s">
        <v>1645</v>
      </c>
      <c r="D111" s="16" t="s">
        <v>1973</v>
      </c>
      <c r="E111" s="16" t="s">
        <v>2110</v>
      </c>
      <c r="F111" s="25" t="s">
        <v>3129</v>
      </c>
    </row>
    <row r="112" spans="1:6">
      <c r="A112" s="81"/>
      <c r="B112" s="31" t="s">
        <v>83</v>
      </c>
      <c r="C112" s="32" t="s">
        <v>1645</v>
      </c>
      <c r="D112" s="16" t="s">
        <v>3128</v>
      </c>
      <c r="E112" s="16" t="s">
        <v>3356</v>
      </c>
      <c r="F112" s="25" t="s">
        <v>3127</v>
      </c>
    </row>
    <row r="113" spans="1:6">
      <c r="A113" s="81"/>
      <c r="B113" s="31" t="s">
        <v>83</v>
      </c>
      <c r="C113" s="32" t="s">
        <v>1645</v>
      </c>
      <c r="D113" s="16" t="s">
        <v>3126</v>
      </c>
      <c r="E113" s="16" t="s">
        <v>3357</v>
      </c>
      <c r="F113" s="25" t="str">
        <f ca="1">IFERROR(__xludf.DUMMYFUNCTION("GOOGLETRANSLATE(E777, ""ja"",""en"")"),"to establish")</f>
        <v>to establish</v>
      </c>
    </row>
    <row r="114" spans="1:6">
      <c r="A114" s="81"/>
      <c r="B114" s="31" t="s">
        <v>83</v>
      </c>
      <c r="C114" s="32" t="s">
        <v>1645</v>
      </c>
      <c r="D114" s="20" t="s">
        <v>3125</v>
      </c>
      <c r="E114" s="16" t="s">
        <v>3358</v>
      </c>
      <c r="F114" s="25" t="s">
        <v>3124</v>
      </c>
    </row>
    <row r="115" spans="1:6">
      <c r="A115" s="81"/>
      <c r="B115" s="31" t="s">
        <v>83</v>
      </c>
      <c r="C115" s="32" t="s">
        <v>1645</v>
      </c>
      <c r="D115" s="16" t="s">
        <v>3123</v>
      </c>
      <c r="E115" s="16" t="s">
        <v>3359</v>
      </c>
      <c r="F115" s="25" t="str">
        <f ca="1">IFERROR(__xludf.DUMMYFUNCTION("GOOGLETRANSLATE(E185, ""ja"",""en"")"),"to support")</f>
        <v>to support</v>
      </c>
    </row>
    <row r="116" spans="1:6">
      <c r="A116" s="81"/>
      <c r="B116" s="31" t="s">
        <v>83</v>
      </c>
      <c r="C116" s="32" t="s">
        <v>1898</v>
      </c>
      <c r="D116" s="16" t="s">
        <v>3122</v>
      </c>
      <c r="E116" s="16" t="s">
        <v>3330</v>
      </c>
      <c r="F116" s="25" t="s">
        <v>3720</v>
      </c>
    </row>
    <row r="117" spans="1:6">
      <c r="A117" s="81"/>
      <c r="B117" s="31" t="s">
        <v>83</v>
      </c>
      <c r="C117" s="32" t="s">
        <v>1648</v>
      </c>
      <c r="D117" s="16" t="s">
        <v>3121</v>
      </c>
      <c r="E117" s="16" t="s">
        <v>3360</v>
      </c>
      <c r="F117" s="25" t="str">
        <f ca="1">IFERROR(__xludf.DUMMYFUNCTION("GOOGLETRANSLATE(E747, ""ja"",""en"")"),"pioneer")</f>
        <v>pioneer</v>
      </c>
    </row>
    <row r="118" spans="1:6">
      <c r="A118" s="81"/>
      <c r="B118" s="31" t="s">
        <v>83</v>
      </c>
      <c r="C118" s="32" t="s">
        <v>1901</v>
      </c>
      <c r="D118" s="16" t="s">
        <v>1983</v>
      </c>
      <c r="E118" s="16" t="s">
        <v>2117</v>
      </c>
      <c r="F118" s="25" t="str">
        <f ca="1">IFERROR(__xludf.DUMMYFUNCTION("GOOGLETRANSLATE(E70, ""ja"",""en"")"),"recent years")</f>
        <v>recent years</v>
      </c>
    </row>
    <row r="119" spans="1:6">
      <c r="A119" s="81"/>
      <c r="B119" s="31" t="s">
        <v>83</v>
      </c>
      <c r="C119" s="32" t="s">
        <v>1655</v>
      </c>
      <c r="D119" s="16" t="s">
        <v>3120</v>
      </c>
      <c r="E119" s="16" t="s">
        <v>3361</v>
      </c>
      <c r="F119" s="25" t="str">
        <f ca="1">IFERROR(__xludf.DUMMYFUNCTION("GOOGLETRANSLATE(E780, ""ja"",""en"")"),"investment")</f>
        <v>investment</v>
      </c>
    </row>
    <row r="120" spans="1:6">
      <c r="A120" s="81"/>
      <c r="B120" s="31" t="s">
        <v>83</v>
      </c>
      <c r="C120" s="32" t="s">
        <v>1655</v>
      </c>
      <c r="D120" s="16" t="s">
        <v>3119</v>
      </c>
      <c r="E120" s="16" t="s">
        <v>3362</v>
      </c>
      <c r="F120" s="25" t="s">
        <v>3118</v>
      </c>
    </row>
    <row r="121" spans="1:6">
      <c r="A121" s="81"/>
      <c r="B121" s="31" t="s">
        <v>83</v>
      </c>
      <c r="C121" s="32" t="s">
        <v>1655</v>
      </c>
      <c r="D121" s="20" t="s">
        <v>3117</v>
      </c>
      <c r="E121" s="20" t="s">
        <v>3363</v>
      </c>
      <c r="F121" s="25" t="s">
        <v>960</v>
      </c>
    </row>
    <row r="122" spans="1:6">
      <c r="A122" s="81"/>
      <c r="B122" s="31" t="s">
        <v>83</v>
      </c>
      <c r="C122" s="32" t="s">
        <v>1658</v>
      </c>
      <c r="D122" s="16" t="s">
        <v>3116</v>
      </c>
      <c r="E122" s="16" t="s">
        <v>3364</v>
      </c>
      <c r="F122" s="25" t="s">
        <v>3722</v>
      </c>
    </row>
    <row r="123" spans="1:6">
      <c r="A123" s="81"/>
      <c r="B123" s="31" t="s">
        <v>83</v>
      </c>
      <c r="C123" s="32" t="s">
        <v>1658</v>
      </c>
      <c r="D123" s="20" t="s">
        <v>3115</v>
      </c>
      <c r="E123" s="16" t="s">
        <v>3365</v>
      </c>
      <c r="F123" s="25" t="s">
        <v>3723</v>
      </c>
    </row>
    <row r="124" spans="1:6">
      <c r="A124" s="81"/>
      <c r="B124" s="31" t="s">
        <v>83</v>
      </c>
      <c r="C124" s="32" t="s">
        <v>1658</v>
      </c>
      <c r="D124" s="16" t="s">
        <v>3724</v>
      </c>
      <c r="E124" s="16" t="s">
        <v>3725</v>
      </c>
      <c r="F124" s="25" t="s">
        <v>3726</v>
      </c>
    </row>
    <row r="125" spans="1:6">
      <c r="A125" s="81"/>
      <c r="B125" s="31" t="s">
        <v>83</v>
      </c>
      <c r="C125" s="32" t="s">
        <v>1717</v>
      </c>
      <c r="D125" s="16" t="s">
        <v>3114</v>
      </c>
      <c r="E125" s="16" t="s">
        <v>3366</v>
      </c>
      <c r="F125" s="25" t="s">
        <v>3113</v>
      </c>
    </row>
    <row r="126" spans="1:6">
      <c r="A126" s="81"/>
      <c r="B126" s="31" t="s">
        <v>83</v>
      </c>
      <c r="C126" s="32" t="s">
        <v>1717</v>
      </c>
      <c r="D126" s="16" t="s">
        <v>3112</v>
      </c>
      <c r="E126" s="16" t="s">
        <v>3367</v>
      </c>
      <c r="F126" s="20" t="s">
        <v>3111</v>
      </c>
    </row>
    <row r="127" spans="1:6">
      <c r="A127" s="81"/>
      <c r="B127" s="31" t="s">
        <v>83</v>
      </c>
      <c r="C127" s="32" t="s">
        <v>1908</v>
      </c>
      <c r="D127" s="16" t="s">
        <v>2228</v>
      </c>
      <c r="E127" s="16" t="s">
        <v>2417</v>
      </c>
      <c r="F127" s="25" t="s">
        <v>3727</v>
      </c>
    </row>
    <row r="128" spans="1:6">
      <c r="A128" s="81"/>
      <c r="B128" s="31" t="s">
        <v>83</v>
      </c>
      <c r="C128" s="32" t="s">
        <v>1661</v>
      </c>
      <c r="D128" s="16" t="s">
        <v>3110</v>
      </c>
      <c r="E128" s="16" t="s">
        <v>3368</v>
      </c>
      <c r="F128" s="25" t="str">
        <f ca="1">IFERROR(__xludf.DUMMYFUNCTION("GOOGLETRANSLATE(E500, ""ja"",""en"")"),"moreover")</f>
        <v>moreover</v>
      </c>
    </row>
    <row r="129" spans="1:6">
      <c r="A129" s="81"/>
      <c r="B129" s="31" t="s">
        <v>83</v>
      </c>
      <c r="C129" s="32" t="s">
        <v>1661</v>
      </c>
      <c r="D129" s="16" t="s">
        <v>3109</v>
      </c>
      <c r="E129" s="16" t="s">
        <v>3369</v>
      </c>
      <c r="F129" s="20" t="s">
        <v>3108</v>
      </c>
    </row>
    <row r="130" spans="1:6">
      <c r="A130" s="81"/>
      <c r="B130" s="31" t="s">
        <v>83</v>
      </c>
      <c r="C130" s="32" t="s">
        <v>1909</v>
      </c>
      <c r="D130" s="20" t="s">
        <v>3107</v>
      </c>
      <c r="E130" s="20" t="s">
        <v>3370</v>
      </c>
      <c r="F130" s="20" t="s">
        <v>3728</v>
      </c>
    </row>
    <row r="131" spans="1:6">
      <c r="A131" s="81"/>
      <c r="B131" s="31" t="s">
        <v>83</v>
      </c>
      <c r="C131" s="32" t="s">
        <v>2001</v>
      </c>
      <c r="D131" s="16" t="s">
        <v>3106</v>
      </c>
      <c r="E131" s="16" t="s">
        <v>3371</v>
      </c>
      <c r="F131" s="25" t="str">
        <f ca="1">IFERROR(__xludf.DUMMYFUNCTION("GOOGLETRANSLATE(E771, ""ja"",""en"")"),"poverty relief")</f>
        <v>poverty relief</v>
      </c>
    </row>
    <row r="132" spans="1:6">
      <c r="A132" s="81"/>
      <c r="B132" s="31" t="s">
        <v>83</v>
      </c>
      <c r="C132" s="32" t="s">
        <v>1666</v>
      </c>
      <c r="D132" s="16" t="s">
        <v>3105</v>
      </c>
      <c r="E132" s="16" t="s">
        <v>3372</v>
      </c>
      <c r="F132" s="20" t="s">
        <v>3104</v>
      </c>
    </row>
    <row r="133" spans="1:6">
      <c r="A133" s="81"/>
      <c r="B133" s="31" t="s">
        <v>83</v>
      </c>
      <c r="C133" s="32" t="s">
        <v>1666</v>
      </c>
      <c r="D133" s="20" t="s">
        <v>3103</v>
      </c>
      <c r="E133" s="20" t="s">
        <v>3373</v>
      </c>
      <c r="F133" s="25" t="str">
        <f ca="1">IFERROR(__xludf.DUMMYFUNCTION("GOOGLETRANSLATE(E577, ""ja"",""en"")"),"customer")</f>
        <v>customer</v>
      </c>
    </row>
    <row r="134" spans="1:6">
      <c r="A134" s="81"/>
      <c r="B134" s="31" t="s">
        <v>83</v>
      </c>
      <c r="C134" s="32" t="s">
        <v>1666</v>
      </c>
      <c r="D134" s="16" t="s">
        <v>1703</v>
      </c>
      <c r="E134" s="16" t="s">
        <v>1826</v>
      </c>
      <c r="F134" s="25" t="str">
        <f ca="1">IFERROR(__xludf.DUMMYFUNCTION("GOOGLETRANSLATE(E319, ""ja"",""en"")"),"place")</f>
        <v>place</v>
      </c>
    </row>
    <row r="135" spans="1:6">
      <c r="A135" s="81"/>
      <c r="B135" s="31" t="s">
        <v>83</v>
      </c>
      <c r="C135" s="32" t="s">
        <v>1666</v>
      </c>
      <c r="D135" s="16" t="s">
        <v>3102</v>
      </c>
      <c r="E135" s="16" t="s">
        <v>2443</v>
      </c>
      <c r="F135" s="25" t="str">
        <f ca="1">IFERROR(__xludf.DUMMYFUNCTION("GOOGLETRANSLATE(E259, ""ja"",""en"")"),"to provide")</f>
        <v>to provide</v>
      </c>
    </row>
    <row r="136" spans="1:6">
      <c r="A136" s="81"/>
      <c r="B136" s="31" t="s">
        <v>83</v>
      </c>
      <c r="C136" s="32" t="s">
        <v>1666</v>
      </c>
      <c r="D136" s="16" t="s">
        <v>3101</v>
      </c>
      <c r="E136" s="16" t="s">
        <v>3316</v>
      </c>
      <c r="F136" s="25" t="str">
        <f ca="1">IFERROR(__xludf.DUMMYFUNCTION("GOOGLETRANSLATE(E697, ""ja"",""en"")"),"system")</f>
        <v>system</v>
      </c>
    </row>
    <row r="137" spans="1:6">
      <c r="A137" s="81"/>
      <c r="B137" s="31" t="s">
        <v>83</v>
      </c>
      <c r="C137" s="32" t="s">
        <v>2006</v>
      </c>
      <c r="D137" s="16" t="s">
        <v>2275</v>
      </c>
      <c r="E137" s="16" t="s">
        <v>2444</v>
      </c>
      <c r="F137" s="25" t="str">
        <f ca="1">IFERROR(__xludf.DUMMYFUNCTION("GOOGLETRANSLATE(E755, ""ja"",""en"")"),"Tokyo")</f>
        <v>Tokyo</v>
      </c>
    </row>
    <row r="138" spans="1:6">
      <c r="A138" s="81"/>
      <c r="B138" s="31" t="s">
        <v>83</v>
      </c>
      <c r="C138" s="32" t="s">
        <v>1671</v>
      </c>
      <c r="D138" s="16" t="s">
        <v>3100</v>
      </c>
      <c r="E138" s="16" t="s">
        <v>3374</v>
      </c>
      <c r="F138" s="25" t="str">
        <f ca="1">IFERROR(__xludf.DUMMYFUNCTION("GOOGLETRANSLATE(E756, ""ja"",""en"")"),"Halal")</f>
        <v>Halal</v>
      </c>
    </row>
    <row r="139" spans="1:6">
      <c r="A139" s="81"/>
      <c r="B139" s="31" t="s">
        <v>83</v>
      </c>
      <c r="C139" s="32" t="s">
        <v>1671</v>
      </c>
      <c r="D139" s="16" t="s">
        <v>3099</v>
      </c>
      <c r="E139" s="16" t="s">
        <v>3375</v>
      </c>
      <c r="F139" s="25" t="str">
        <f ca="1">IFERROR(__xludf.DUMMYFUNCTION("GOOGLETRANSLATE(E757, ""ja"",""en"")"),"allergy")</f>
        <v>allergy</v>
      </c>
    </row>
    <row r="140" spans="1:6">
      <c r="A140" s="81"/>
      <c r="B140" s="31" t="s">
        <v>83</v>
      </c>
      <c r="C140" s="32" t="s">
        <v>1671</v>
      </c>
      <c r="D140" s="16" t="s">
        <v>3098</v>
      </c>
      <c r="E140" s="16" t="s">
        <v>3376</v>
      </c>
      <c r="F140" s="25" t="s">
        <v>3729</v>
      </c>
    </row>
    <row r="141" spans="1:6">
      <c r="A141" s="81"/>
      <c r="B141" s="31" t="s">
        <v>83</v>
      </c>
      <c r="C141" s="32" t="s">
        <v>1917</v>
      </c>
      <c r="D141" s="16" t="s">
        <v>3097</v>
      </c>
      <c r="E141" s="16" t="s">
        <v>2422</v>
      </c>
      <c r="F141" s="25" t="str">
        <f ca="1">IFERROR(__xludf.DUMMYFUNCTION("GOOGLETRANSLATE(E785, ""ja"",""en"")"),"diversity")</f>
        <v>diversity</v>
      </c>
    </row>
    <row r="142" spans="1:6">
      <c r="A142" s="81"/>
      <c r="B142" s="31" t="s">
        <v>83</v>
      </c>
      <c r="C142" s="32" t="s">
        <v>1740</v>
      </c>
      <c r="D142" s="16" t="s">
        <v>3096</v>
      </c>
      <c r="E142" s="16" t="s">
        <v>3377</v>
      </c>
      <c r="F142" s="25" t="s">
        <v>2621</v>
      </c>
    </row>
    <row r="143" spans="1:6">
      <c r="A143" s="81"/>
      <c r="B143" s="31" t="s">
        <v>83</v>
      </c>
      <c r="C143" s="32" t="s">
        <v>1740</v>
      </c>
      <c r="D143" s="16" t="s">
        <v>3095</v>
      </c>
      <c r="E143" s="16" t="s">
        <v>3378</v>
      </c>
      <c r="F143" s="25" t="str">
        <f ca="1">IFERROR(__xludf.DUMMYFUNCTION("GOOGLETRANSLATE(E786, ""ja"",""en"")"),"to be different")</f>
        <v>to be different</v>
      </c>
    </row>
    <row r="144" spans="1:6">
      <c r="A144" s="81"/>
      <c r="B144" s="31" t="s">
        <v>83</v>
      </c>
      <c r="C144" s="32" t="s">
        <v>1740</v>
      </c>
      <c r="D144" s="16" t="s">
        <v>3094</v>
      </c>
      <c r="E144" s="16" t="s">
        <v>3379</v>
      </c>
      <c r="F144" s="25" t="s">
        <v>3093</v>
      </c>
    </row>
    <row r="145" spans="1:6">
      <c r="A145" s="81"/>
      <c r="B145" s="31" t="s">
        <v>83</v>
      </c>
      <c r="C145" s="32" t="s">
        <v>1740</v>
      </c>
      <c r="D145" s="16" t="s">
        <v>2375</v>
      </c>
      <c r="E145" s="16" t="s">
        <v>1543</v>
      </c>
      <c r="F145" s="25" t="str">
        <f ca="1">IFERROR(__xludf.DUMMYFUNCTION("GOOGLETRANSLATE(E257, ""ja"",""en"")"),"people")</f>
        <v>people</v>
      </c>
    </row>
    <row r="146" spans="1:6">
      <c r="A146" s="81"/>
      <c r="B146" s="31" t="s">
        <v>83</v>
      </c>
      <c r="C146" s="32" t="s">
        <v>1740</v>
      </c>
      <c r="D146" s="20" t="s">
        <v>3092</v>
      </c>
      <c r="E146" s="20" t="s">
        <v>3380</v>
      </c>
      <c r="F146" s="25" t="str">
        <f ca="1">IFERROR(__xludf.DUMMYFUNCTION("GOOGLETRANSLATE(E822, ""ja"",""en"")"),"to surround")</f>
        <v>to surround</v>
      </c>
    </row>
    <row r="147" spans="1:6">
      <c r="A147" s="81"/>
      <c r="B147" s="31" t="s">
        <v>83</v>
      </c>
      <c r="C147" s="32" t="s">
        <v>1923</v>
      </c>
      <c r="D147" s="16" t="s">
        <v>2255</v>
      </c>
      <c r="E147" s="16" t="s">
        <v>1555</v>
      </c>
      <c r="F147" s="26" t="str">
        <f ca="1">IFERROR(__xludf.DUMMYFUNCTION("GOOGLETRANSLATE(E310, ""ja"",""en"")"),"area")</f>
        <v>area</v>
      </c>
    </row>
    <row r="148" spans="1:6">
      <c r="A148" s="81"/>
      <c r="B148" s="31" t="s">
        <v>83</v>
      </c>
      <c r="C148" s="32" t="s">
        <v>1673</v>
      </c>
      <c r="D148" s="16" t="s">
        <v>2258</v>
      </c>
      <c r="E148" s="16" t="s">
        <v>2435</v>
      </c>
      <c r="F148" s="25" t="s">
        <v>2259</v>
      </c>
    </row>
    <row r="149" spans="1:6">
      <c r="A149" s="81"/>
      <c r="B149" s="31" t="s">
        <v>83</v>
      </c>
      <c r="C149" s="32" t="s">
        <v>1673</v>
      </c>
      <c r="D149" s="16" t="s">
        <v>3091</v>
      </c>
      <c r="E149" s="16" t="s">
        <v>3381</v>
      </c>
      <c r="F149" s="25" t="s">
        <v>3090</v>
      </c>
    </row>
    <row r="150" spans="1:6">
      <c r="A150" s="81"/>
      <c r="B150" s="31" t="s">
        <v>83</v>
      </c>
      <c r="C150" s="32" t="s">
        <v>1673</v>
      </c>
      <c r="D150" s="16" t="s">
        <v>3089</v>
      </c>
      <c r="E150" s="16" t="s">
        <v>3382</v>
      </c>
      <c r="F150" s="25" t="s">
        <v>2711</v>
      </c>
    </row>
    <row r="151" spans="1:6">
      <c r="A151" s="81"/>
      <c r="B151" s="31" t="s">
        <v>83</v>
      </c>
      <c r="C151" s="32" t="s">
        <v>1673</v>
      </c>
      <c r="D151" s="16" t="s">
        <v>2364</v>
      </c>
      <c r="E151" s="16" t="s">
        <v>2495</v>
      </c>
      <c r="F151" s="16" t="s">
        <v>2365</v>
      </c>
    </row>
    <row r="152" spans="1:6">
      <c r="A152" s="81"/>
      <c r="B152" s="31" t="s">
        <v>83</v>
      </c>
      <c r="C152" s="32" t="s">
        <v>1673</v>
      </c>
      <c r="D152" s="20" t="s">
        <v>2209</v>
      </c>
      <c r="E152" s="20" t="s">
        <v>2406</v>
      </c>
      <c r="F152" s="25" t="str">
        <f ca="1">IFERROR(__xludf.DUMMYFUNCTION("GOOGLETRANSLATE(E172, ""ja"",""en"")"),"through")</f>
        <v>through</v>
      </c>
    </row>
    <row r="153" spans="1:6">
      <c r="A153" s="81"/>
      <c r="B153" s="31" t="s">
        <v>83</v>
      </c>
      <c r="C153" s="32" t="s">
        <v>1925</v>
      </c>
      <c r="D153" s="16" t="s">
        <v>3088</v>
      </c>
      <c r="E153" s="16" t="s">
        <v>3383</v>
      </c>
      <c r="F153" s="25" t="str">
        <f ca="1">IFERROR(__xludf.DUMMYFUNCTION("GOOGLETRANSLATE(E762, ""ja"",""en"")"),"bond")</f>
        <v>bond</v>
      </c>
    </row>
    <row r="154" spans="1:6">
      <c r="A154" s="81"/>
      <c r="B154" s="31" t="s">
        <v>83</v>
      </c>
      <c r="C154" s="32" t="s">
        <v>1675</v>
      </c>
      <c r="D154" s="16" t="s">
        <v>3087</v>
      </c>
      <c r="E154" s="16" t="s">
        <v>3384</v>
      </c>
      <c r="F154" s="25" t="str">
        <f ca="1">IFERROR(__xludf.DUMMYFUNCTION("GOOGLETRANSLATE(E790, ""ja"",""en"")"),"to deepen")</f>
        <v>to deepen</v>
      </c>
    </row>
    <row r="155" spans="1:6">
      <c r="A155" s="81"/>
      <c r="B155" s="31" t="s">
        <v>83</v>
      </c>
      <c r="C155" s="32" t="s">
        <v>1675</v>
      </c>
      <c r="D155" s="20" t="s">
        <v>3086</v>
      </c>
      <c r="E155" s="16" t="s">
        <v>3385</v>
      </c>
      <c r="F155" s="25" t="str">
        <f ca="1">IFERROR(__xludf.DUMMYFUNCTION("GOOGLETRANSLATE(E763, ""ja"",""en"")"),"work for")</f>
        <v>work for</v>
      </c>
    </row>
    <row r="156" spans="1:6">
      <c r="A156" s="81"/>
      <c r="B156" s="31" t="s">
        <v>83</v>
      </c>
      <c r="C156" s="32" t="s">
        <v>1675</v>
      </c>
      <c r="D156" s="16" t="s">
        <v>1709</v>
      </c>
      <c r="E156" s="16" t="s">
        <v>1832</v>
      </c>
      <c r="F156" s="25" t="str">
        <f ca="1">IFERROR(__xludf.DUMMYFUNCTION("GOOGLETRANSLATE(E825, ""ja"",""en"")"),"workplace")</f>
        <v>workplace</v>
      </c>
    </row>
    <row r="157" spans="1:6">
      <c r="A157" s="81"/>
      <c r="B157" s="31" t="s">
        <v>83</v>
      </c>
      <c r="C157" s="32" t="s">
        <v>1675</v>
      </c>
      <c r="D157" s="20" t="s">
        <v>3085</v>
      </c>
      <c r="E157" s="16" t="s">
        <v>3386</v>
      </c>
      <c r="F157" s="25" t="s">
        <v>3730</v>
      </c>
    </row>
    <row r="158" spans="1:6">
      <c r="A158" s="81"/>
      <c r="B158" s="31" t="s">
        <v>83</v>
      </c>
      <c r="C158" s="32" t="s">
        <v>1675</v>
      </c>
      <c r="D158" s="16" t="s">
        <v>3084</v>
      </c>
      <c r="E158" s="16" t="s">
        <v>3387</v>
      </c>
      <c r="F158" s="25" t="str">
        <f ca="1">IFERROR(__xludf.DUMMYFUNCTION("GOOGLETRANSLATE(E765, ""ja"",""en"")"),"cafe")</f>
        <v>cafe</v>
      </c>
    </row>
    <row r="159" spans="1:6">
      <c r="A159" s="81"/>
      <c r="B159" s="31" t="s">
        <v>83</v>
      </c>
      <c r="C159" s="36" t="s">
        <v>1754</v>
      </c>
      <c r="D159" s="20" t="s">
        <v>3083</v>
      </c>
      <c r="E159" s="20" t="s">
        <v>3388</v>
      </c>
      <c r="F159" s="25" t="s">
        <v>3082</v>
      </c>
    </row>
    <row r="160" spans="1:6">
      <c r="A160" s="81"/>
      <c r="B160" s="31" t="s">
        <v>83</v>
      </c>
      <c r="C160" s="32" t="s">
        <v>2024</v>
      </c>
      <c r="D160" s="16" t="s">
        <v>2387</v>
      </c>
      <c r="E160" s="16" t="s">
        <v>2508</v>
      </c>
      <c r="F160" s="25" t="str">
        <f ca="1">IFERROR(__xludf.DUMMYFUNCTION("GOOGLETRANSLATE(E278, ""ja"",""en"")"),"to be in charge of")</f>
        <v>to be in charge of</v>
      </c>
    </row>
    <row r="161" spans="1:6">
      <c r="A161" s="81"/>
      <c r="B161" s="31" t="s">
        <v>83</v>
      </c>
      <c r="C161" s="32" t="s">
        <v>1754</v>
      </c>
      <c r="D161" s="20" t="s">
        <v>3081</v>
      </c>
      <c r="E161" s="16" t="s">
        <v>3389</v>
      </c>
      <c r="F161" s="25" t="s">
        <v>3731</v>
      </c>
    </row>
    <row r="162" spans="1:6">
      <c r="A162" s="81"/>
      <c r="B162" s="31" t="s">
        <v>83</v>
      </c>
      <c r="C162" s="32" t="s">
        <v>1754</v>
      </c>
      <c r="D162" s="16" t="s">
        <v>3080</v>
      </c>
      <c r="E162" s="16" t="s">
        <v>3390</v>
      </c>
      <c r="F162" s="25" t="str">
        <f ca="1">IFERROR(__xludf.DUMMYFUNCTION("GOOGLETRANSLATE(E793, ""ja"",""en"")"),"training")</f>
        <v>training</v>
      </c>
    </row>
    <row r="163" spans="1:6">
      <c r="A163" s="81"/>
      <c r="B163" s="31" t="s">
        <v>83</v>
      </c>
      <c r="C163" s="32" t="s">
        <v>1754</v>
      </c>
      <c r="D163" s="20" t="s">
        <v>1905</v>
      </c>
      <c r="E163" s="20" t="s">
        <v>1499</v>
      </c>
      <c r="F163" s="25" t="str">
        <f ca="1">IFERROR(__xludf.DUMMYFUNCTION("GOOGLETRANSLATE(E321, ""ja"",""en"")"),"various")</f>
        <v>various</v>
      </c>
    </row>
    <row r="164" spans="1:6">
      <c r="A164" s="81"/>
      <c r="B164" s="31" t="s">
        <v>83</v>
      </c>
      <c r="C164" s="32" t="s">
        <v>1754</v>
      </c>
      <c r="D164" s="16" t="s">
        <v>3079</v>
      </c>
      <c r="E164" s="16" t="s">
        <v>3391</v>
      </c>
      <c r="F164" s="20" t="s">
        <v>3732</v>
      </c>
    </row>
    <row r="165" spans="1:6">
      <c r="A165" s="81"/>
      <c r="B165" s="31" t="s">
        <v>83</v>
      </c>
      <c r="C165" s="32" t="s">
        <v>2031</v>
      </c>
      <c r="D165" s="16" t="s">
        <v>3078</v>
      </c>
      <c r="E165" s="16" t="s">
        <v>3392</v>
      </c>
      <c r="F165" s="25" t="s">
        <v>3720</v>
      </c>
    </row>
    <row r="166" spans="1:6">
      <c r="A166" s="81"/>
      <c r="B166" s="31" t="s">
        <v>83</v>
      </c>
      <c r="C166" s="32" t="s">
        <v>1761</v>
      </c>
      <c r="D166" s="16" t="s">
        <v>3077</v>
      </c>
      <c r="E166" s="16" t="s">
        <v>3733</v>
      </c>
      <c r="F166" s="25" t="str">
        <f ca="1">IFERROR(__xludf.DUMMYFUNCTION("GOOGLETRANSLATE(E766, ""ja"",""en"")"),"project-based")</f>
        <v>project-based</v>
      </c>
    </row>
    <row r="167" spans="1:6">
      <c r="A167" s="81"/>
      <c r="B167" s="31" t="s">
        <v>83</v>
      </c>
      <c r="C167" s="32" t="s">
        <v>1761</v>
      </c>
      <c r="D167" s="16" t="s">
        <v>3076</v>
      </c>
      <c r="E167" s="16" t="s">
        <v>2110</v>
      </c>
      <c r="F167" s="25" t="str">
        <f ca="1">IFERROR(__xludf.DUMMYFUNCTION("GOOGLETRANSLATE(E806, ""ja"",""en"")"),"activity")</f>
        <v>activity</v>
      </c>
    </row>
    <row r="168" spans="1:6">
      <c r="A168" s="81"/>
      <c r="B168" s="31" t="s">
        <v>83</v>
      </c>
      <c r="C168" s="32" t="s">
        <v>1926</v>
      </c>
      <c r="D168" s="16" t="s">
        <v>3075</v>
      </c>
      <c r="E168" s="16" t="s">
        <v>3393</v>
      </c>
      <c r="F168" s="20" t="s">
        <v>3074</v>
      </c>
    </row>
    <row r="169" spans="1:6">
      <c r="A169" s="81"/>
      <c r="B169" s="31" t="s">
        <v>83</v>
      </c>
      <c r="C169" s="32" t="s">
        <v>1768</v>
      </c>
      <c r="D169" s="16" t="s">
        <v>3073</v>
      </c>
      <c r="E169" s="16" t="s">
        <v>3394</v>
      </c>
      <c r="F169" s="20" t="s">
        <v>3072</v>
      </c>
    </row>
    <row r="170" spans="1:6">
      <c r="A170" s="81"/>
      <c r="B170" s="31" t="s">
        <v>83</v>
      </c>
      <c r="C170" s="32" t="s">
        <v>1768</v>
      </c>
      <c r="D170" s="16" t="s">
        <v>3071</v>
      </c>
      <c r="E170" s="16" t="s">
        <v>3395</v>
      </c>
      <c r="F170" s="20" t="s">
        <v>3070</v>
      </c>
    </row>
    <row r="171" spans="1:6">
      <c r="A171" s="81"/>
      <c r="B171" s="31" t="s">
        <v>83</v>
      </c>
      <c r="C171" s="32" t="s">
        <v>1768</v>
      </c>
      <c r="D171" s="20" t="s">
        <v>2699</v>
      </c>
      <c r="E171" s="20" t="s">
        <v>959</v>
      </c>
      <c r="F171" s="25" t="str">
        <f ca="1">IFERROR(__xludf.DUMMYFUNCTION("GOOGLETRANSLATE(E453, ""ja"",""en"")"),"to spread")</f>
        <v>to spread</v>
      </c>
    </row>
    <row r="172" spans="1:6">
      <c r="A172" s="81"/>
      <c r="B172" s="31" t="s">
        <v>83</v>
      </c>
      <c r="C172" s="32" t="s">
        <v>2045</v>
      </c>
      <c r="D172" s="16" t="s">
        <v>2739</v>
      </c>
      <c r="E172" s="16" t="s">
        <v>3396</v>
      </c>
      <c r="F172" s="25" t="str">
        <f ca="1">IFERROR(__xludf.DUMMYFUNCTION("GOOGLETRANSLATE(E502, ""ja"",""en"")"),"to expect")</f>
        <v>to expect</v>
      </c>
    </row>
    <row r="173" spans="1:6">
      <c r="A173" s="81"/>
      <c r="B173" s="31" t="s">
        <v>83</v>
      </c>
      <c r="C173" s="32" t="s">
        <v>2048</v>
      </c>
      <c r="D173" s="16" t="s">
        <v>3069</v>
      </c>
      <c r="E173" s="16" t="s">
        <v>3397</v>
      </c>
      <c r="F173" s="20" t="s">
        <v>3068</v>
      </c>
    </row>
    <row r="174" spans="1:6">
      <c r="A174" s="81"/>
      <c r="B174" s="31" t="s">
        <v>83</v>
      </c>
      <c r="C174" s="32" t="s">
        <v>2048</v>
      </c>
      <c r="D174" s="16" t="s">
        <v>3067</v>
      </c>
      <c r="E174" s="16" t="s">
        <v>3398</v>
      </c>
      <c r="F174" s="20" t="s">
        <v>3066</v>
      </c>
    </row>
    <row r="175" spans="1:6">
      <c r="A175" s="81"/>
      <c r="B175" s="31" t="s">
        <v>83</v>
      </c>
      <c r="C175" s="32" t="s">
        <v>3065</v>
      </c>
      <c r="D175" s="20" t="s">
        <v>3761</v>
      </c>
      <c r="E175" s="20" t="s">
        <v>3763</v>
      </c>
      <c r="F175" s="16" t="s">
        <v>3762</v>
      </c>
    </row>
    <row r="176" spans="1:6">
      <c r="A176" s="82"/>
      <c r="B176" s="31" t="s">
        <v>83</v>
      </c>
      <c r="C176" s="32" t="s">
        <v>3065</v>
      </c>
      <c r="D176" s="16" t="s">
        <v>3064</v>
      </c>
      <c r="E176" s="16" t="s">
        <v>3399</v>
      </c>
      <c r="F176" s="20" t="s">
        <v>3063</v>
      </c>
    </row>
  </sheetData>
  <autoFilter ref="A1:G176" xr:uid="{EFF08595-1D81-4147-9D7B-02B069FD95DF}"/>
  <mergeCells count="1">
    <mergeCell ref="A2:A176"/>
  </mergeCells>
  <phoneticPr fontId="2"/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C4420-653A-A643-8014-BA9152B1D252}">
  <dimension ref="A1:H177"/>
  <sheetViews>
    <sheetView zoomScale="110" zoomScaleNormal="110" workbookViewId="0">
      <pane ySplit="1" topLeftCell="A2" activePane="bottomLeft" state="frozen"/>
      <selection pane="bottomLeft" activeCell="A2" sqref="A2:A177"/>
    </sheetView>
  </sheetViews>
  <sheetFormatPr baseColWidth="10" defaultColWidth="11.140625" defaultRowHeight="20"/>
  <cols>
    <col min="1" max="1" width="5.85546875" style="2" customWidth="1"/>
    <col min="2" max="2" width="7.85546875" style="2" customWidth="1"/>
    <col min="3" max="3" width="8.42578125" style="2" customWidth="1"/>
    <col min="4" max="4" width="19.28515625" style="2" customWidth="1"/>
    <col min="5" max="5" width="21.7109375" style="2" customWidth="1"/>
    <col min="6" max="6" width="24.7109375" style="2" customWidth="1"/>
    <col min="7" max="7" width="17.28515625" style="2" customWidth="1"/>
    <col min="8" max="16384" width="11.140625" style="2"/>
  </cols>
  <sheetData>
    <row r="1" spans="1:8" s="10" customFormat="1" ht="16">
      <c r="A1" s="11" t="s">
        <v>0</v>
      </c>
      <c r="B1" s="11" t="s">
        <v>1</v>
      </c>
      <c r="C1" s="12" t="s">
        <v>3747</v>
      </c>
      <c r="D1" s="11" t="s">
        <v>3740</v>
      </c>
      <c r="E1" s="11" t="s">
        <v>3741</v>
      </c>
      <c r="F1" s="11" t="s">
        <v>3742</v>
      </c>
    </row>
    <row r="2" spans="1:8">
      <c r="A2" s="80" t="s">
        <v>208</v>
      </c>
      <c r="B2" s="31"/>
      <c r="C2" s="32" t="s">
        <v>209</v>
      </c>
      <c r="D2" s="23" t="s">
        <v>210</v>
      </c>
      <c r="E2" s="20" t="s">
        <v>211</v>
      </c>
      <c r="F2" s="20" t="s">
        <v>786</v>
      </c>
    </row>
    <row r="3" spans="1:8">
      <c r="A3" s="81"/>
      <c r="B3" s="31"/>
      <c r="C3" s="32" t="s">
        <v>209</v>
      </c>
      <c r="D3" s="22" t="s">
        <v>7</v>
      </c>
      <c r="E3" s="16" t="str">
        <f t="shared" ref="E3:E24" si="0">PHONETIC(D3)</f>
        <v xml:space="preserve">ちいき </v>
      </c>
      <c r="F3" s="21" t="s">
        <v>1427</v>
      </c>
    </row>
    <row r="4" spans="1:8">
      <c r="A4" s="81"/>
      <c r="B4" s="31"/>
      <c r="C4" s="32" t="s">
        <v>209</v>
      </c>
      <c r="D4" s="22" t="s">
        <v>212</v>
      </c>
      <c r="E4" s="16" t="str">
        <f t="shared" si="0"/>
        <v xml:space="preserve">かっせいか </v>
      </c>
      <c r="F4" s="33" t="s">
        <v>1452</v>
      </c>
    </row>
    <row r="5" spans="1:8">
      <c r="A5" s="81"/>
      <c r="B5" s="30" t="s">
        <v>5</v>
      </c>
      <c r="C5" s="32" t="s">
        <v>3</v>
      </c>
      <c r="D5" s="22" t="s">
        <v>1428</v>
      </c>
      <c r="E5" s="16" t="s">
        <v>1429</v>
      </c>
      <c r="F5" s="33" t="s">
        <v>1430</v>
      </c>
      <c r="G5" s="9"/>
      <c r="H5" s="34"/>
    </row>
    <row r="6" spans="1:8">
      <c r="A6" s="81"/>
      <c r="B6" s="30" t="s">
        <v>5</v>
      </c>
      <c r="C6" s="32" t="s">
        <v>3</v>
      </c>
      <c r="D6" s="23" t="s">
        <v>213</v>
      </c>
      <c r="E6" s="20" t="s">
        <v>214</v>
      </c>
      <c r="F6" s="33" t="s">
        <v>1443</v>
      </c>
    </row>
    <row r="7" spans="1:8">
      <c r="A7" s="81"/>
      <c r="B7" s="30" t="s">
        <v>8</v>
      </c>
      <c r="C7" s="35" t="s">
        <v>6</v>
      </c>
      <c r="D7" s="22" t="s">
        <v>215</v>
      </c>
      <c r="E7" s="16" t="s">
        <v>216</v>
      </c>
      <c r="F7" s="21" t="s">
        <v>788</v>
      </c>
    </row>
    <row r="8" spans="1:8">
      <c r="A8" s="81"/>
      <c r="B8" s="30" t="s">
        <v>8</v>
      </c>
      <c r="C8" s="35" t="s">
        <v>6</v>
      </c>
      <c r="D8" s="22" t="s">
        <v>217</v>
      </c>
      <c r="E8" s="16" t="str">
        <f t="shared" si="0"/>
        <v xml:space="preserve">ほっかいどう </v>
      </c>
      <c r="F8" s="33" t="str">
        <f ca="1">IFERROR(__xludf.DUMMYFUNCTION("GOOGLETRANSLATE(E183, ""ja"",""en"")"),"Hokkaido")</f>
        <v>Hokkaido</v>
      </c>
    </row>
    <row r="9" spans="1:8">
      <c r="A9" s="81"/>
      <c r="B9" s="30" t="s">
        <v>8</v>
      </c>
      <c r="C9" s="35" t="s">
        <v>6</v>
      </c>
      <c r="D9" s="23" t="s">
        <v>218</v>
      </c>
      <c r="E9" s="16" t="str">
        <f t="shared" si="0"/>
        <v xml:space="preserve">おきなわ </v>
      </c>
      <c r="F9" s="16" t="s">
        <v>219</v>
      </c>
    </row>
    <row r="10" spans="1:8">
      <c r="A10" s="81"/>
      <c r="B10" s="30" t="s">
        <v>8</v>
      </c>
      <c r="C10" s="35" t="s">
        <v>6</v>
      </c>
      <c r="D10" s="22" t="s">
        <v>220</v>
      </c>
      <c r="E10" s="16" t="str">
        <f t="shared" si="0"/>
        <v xml:space="preserve">とうほく </v>
      </c>
      <c r="F10" s="20" t="s">
        <v>789</v>
      </c>
    </row>
    <row r="11" spans="1:8">
      <c r="A11" s="81"/>
      <c r="B11" s="30" t="s">
        <v>8</v>
      </c>
      <c r="C11" s="35" t="s">
        <v>6</v>
      </c>
      <c r="D11" s="22" t="s">
        <v>221</v>
      </c>
      <c r="E11" s="16" t="str">
        <f t="shared" si="0"/>
        <v xml:space="preserve">ちゅうぶ </v>
      </c>
      <c r="F11" s="20" t="s">
        <v>790</v>
      </c>
    </row>
    <row r="12" spans="1:8">
      <c r="A12" s="81"/>
      <c r="B12" s="30" t="s">
        <v>8</v>
      </c>
      <c r="C12" s="35" t="s">
        <v>6</v>
      </c>
      <c r="D12" s="22" t="s">
        <v>222</v>
      </c>
      <c r="E12" s="16" t="s">
        <v>223</v>
      </c>
      <c r="F12" s="20" t="s">
        <v>791</v>
      </c>
    </row>
    <row r="13" spans="1:8">
      <c r="A13" s="81"/>
      <c r="B13" s="30" t="s">
        <v>8</v>
      </c>
      <c r="C13" s="35" t="s">
        <v>6</v>
      </c>
      <c r="D13" s="22" t="s">
        <v>224</v>
      </c>
      <c r="E13" s="16" t="str">
        <f t="shared" si="0"/>
        <v xml:space="preserve">ちゅうごく </v>
      </c>
      <c r="F13" s="20" t="s">
        <v>792</v>
      </c>
    </row>
    <row r="14" spans="1:8">
      <c r="A14" s="81"/>
      <c r="B14" s="30" t="s">
        <v>8</v>
      </c>
      <c r="C14" s="35" t="s">
        <v>6</v>
      </c>
      <c r="D14" s="22" t="s">
        <v>225</v>
      </c>
      <c r="E14" s="16" t="str">
        <f t="shared" si="0"/>
        <v xml:space="preserve">きんき </v>
      </c>
      <c r="F14" s="20" t="s">
        <v>793</v>
      </c>
    </row>
    <row r="15" spans="1:8">
      <c r="A15" s="81"/>
      <c r="B15" s="30" t="s">
        <v>8</v>
      </c>
      <c r="C15" s="35" t="s">
        <v>6</v>
      </c>
      <c r="D15" s="22" t="s">
        <v>226</v>
      </c>
      <c r="E15" s="16" t="str">
        <f t="shared" si="0"/>
        <v xml:space="preserve">きゅうしゅう </v>
      </c>
      <c r="F15" s="33" t="str">
        <f ca="1">IFERROR(__xludf.DUMMYFUNCTION("GOOGLETRANSLATE(E211, ""ja"",""en"")"),"Kyushu")</f>
        <v>Kyushu</v>
      </c>
    </row>
    <row r="16" spans="1:8">
      <c r="A16" s="81"/>
      <c r="B16" s="30" t="s">
        <v>8</v>
      </c>
      <c r="C16" s="35" t="s">
        <v>6</v>
      </c>
      <c r="D16" s="23" t="s">
        <v>227</v>
      </c>
      <c r="E16" s="16" t="str">
        <f t="shared" si="0"/>
        <v xml:space="preserve">しこく </v>
      </c>
      <c r="F16" s="33" t="str">
        <f ca="1">IFERROR(__xludf.DUMMYFUNCTION("GOOGLETRANSLATE(E268, ""ja"",""en"")"),"Shikoku")</f>
        <v>Shikoku</v>
      </c>
    </row>
    <row r="17" spans="1:6">
      <c r="A17" s="81"/>
      <c r="B17" s="30" t="s">
        <v>8</v>
      </c>
      <c r="C17" s="35" t="s">
        <v>6</v>
      </c>
      <c r="D17" s="23" t="s">
        <v>102</v>
      </c>
      <c r="E17" s="16" t="str">
        <f t="shared" si="0"/>
        <v xml:space="preserve">しょくざい </v>
      </c>
      <c r="F17" s="33" t="s">
        <v>794</v>
      </c>
    </row>
    <row r="18" spans="1:6">
      <c r="A18" s="81"/>
      <c r="B18" s="30" t="s">
        <v>8</v>
      </c>
      <c r="C18" s="35" t="s">
        <v>6</v>
      </c>
      <c r="D18" s="23" t="s">
        <v>795</v>
      </c>
      <c r="E18" s="24" t="s">
        <v>796</v>
      </c>
      <c r="F18" s="20" t="s">
        <v>703</v>
      </c>
    </row>
    <row r="19" spans="1:6">
      <c r="A19" s="81"/>
      <c r="B19" s="30" t="s">
        <v>8</v>
      </c>
      <c r="C19" s="32" t="s">
        <v>12</v>
      </c>
      <c r="D19" s="22" t="s">
        <v>228</v>
      </c>
      <c r="E19" s="16" t="s">
        <v>123</v>
      </c>
      <c r="F19" s="33" t="s">
        <v>741</v>
      </c>
    </row>
    <row r="20" spans="1:6">
      <c r="A20" s="81"/>
      <c r="B20" s="30" t="s">
        <v>8</v>
      </c>
      <c r="C20" s="32" t="s">
        <v>12</v>
      </c>
      <c r="D20" s="22" t="s">
        <v>797</v>
      </c>
      <c r="E20" s="16" t="s">
        <v>798</v>
      </c>
      <c r="F20" s="33" t="s">
        <v>799</v>
      </c>
    </row>
    <row r="21" spans="1:6">
      <c r="A21" s="81"/>
      <c r="B21" s="30" t="s">
        <v>8</v>
      </c>
      <c r="C21" s="36" t="s">
        <v>18</v>
      </c>
      <c r="D21" s="22" t="s">
        <v>229</v>
      </c>
      <c r="E21" s="16" t="str">
        <f t="shared" si="0"/>
        <v xml:space="preserve">こくど </v>
      </c>
      <c r="F21" s="33" t="s">
        <v>802</v>
      </c>
    </row>
    <row r="22" spans="1:6">
      <c r="A22" s="81"/>
      <c r="B22" s="30" t="s">
        <v>8</v>
      </c>
      <c r="C22" s="32" t="s">
        <v>18</v>
      </c>
      <c r="D22" s="22" t="s">
        <v>800</v>
      </c>
      <c r="E22" s="16" t="s">
        <v>801</v>
      </c>
      <c r="F22" s="33" t="str">
        <f ca="1">IFERROR(__xludf.DUMMYFUNCTION("GOOGLETRANSLATE(E181, ""ja"",""en"")"),"to occupy")</f>
        <v>to occupy</v>
      </c>
    </row>
    <row r="23" spans="1:6">
      <c r="A23" s="81"/>
      <c r="B23" s="30" t="s">
        <v>8</v>
      </c>
      <c r="C23" s="32" t="s">
        <v>18</v>
      </c>
      <c r="D23" s="22" t="s">
        <v>230</v>
      </c>
      <c r="E23" s="16" t="s">
        <v>231</v>
      </c>
      <c r="F23" s="33" t="str">
        <f ca="1">IFERROR(__xludf.DUMMYFUNCTION("GOOGLETRANSLATE(E889, ""ja"",""en"")"),"various")</f>
        <v>various</v>
      </c>
    </row>
    <row r="24" spans="1:6">
      <c r="A24" s="81"/>
      <c r="B24" s="30" t="s">
        <v>8</v>
      </c>
      <c r="C24" s="32" t="s">
        <v>18</v>
      </c>
      <c r="D24" s="22" t="s">
        <v>125</v>
      </c>
      <c r="E24" s="16" t="str">
        <f t="shared" si="0"/>
        <v xml:space="preserve">ちけい </v>
      </c>
      <c r="F24" s="33" t="str">
        <f ca="1">IFERROR(__xludf.DUMMYFUNCTION("GOOGLETRANSLATE(E224, ""ja"",""en"")"),"terrain")</f>
        <v>terrain</v>
      </c>
    </row>
    <row r="25" spans="1:6">
      <c r="A25" s="81"/>
      <c r="B25" s="30" t="s">
        <v>8</v>
      </c>
      <c r="C25" s="32" t="s">
        <v>21</v>
      </c>
      <c r="D25" s="22" t="s">
        <v>232</v>
      </c>
      <c r="E25" s="16" t="s">
        <v>233</v>
      </c>
      <c r="F25" s="33" t="str">
        <f ca="1">IFERROR(__xludf.DUMMYFUNCTION("GOOGLETRANSLATE(E234, ""ja"",""en"")"),"climate")</f>
        <v>climate</v>
      </c>
    </row>
    <row r="26" spans="1:6">
      <c r="A26" s="81"/>
      <c r="B26" s="30" t="s">
        <v>8</v>
      </c>
      <c r="C26" s="32" t="s">
        <v>21</v>
      </c>
      <c r="D26" s="22" t="s">
        <v>803</v>
      </c>
      <c r="E26" s="16" t="s">
        <v>804</v>
      </c>
      <c r="F26" s="33" t="s">
        <v>1431</v>
      </c>
    </row>
    <row r="27" spans="1:6">
      <c r="A27" s="81"/>
      <c r="B27" s="30" t="s">
        <v>8</v>
      </c>
      <c r="C27" s="32" t="s">
        <v>23</v>
      </c>
      <c r="D27" s="22" t="s">
        <v>234</v>
      </c>
      <c r="E27" s="16" t="str">
        <f t="shared" ref="E27:E73" si="1">PHONETIC(D27)</f>
        <v xml:space="preserve">いんしょう </v>
      </c>
      <c r="F27" s="16" t="str">
        <f ca="1">IFERROR(__xludf.DUMMYFUNCTION("GOOGLETRANSLATE(E235, ""ja"",""en"")"),"impression")</f>
        <v>impression</v>
      </c>
    </row>
    <row r="28" spans="1:6">
      <c r="A28" s="81"/>
      <c r="B28" s="30" t="s">
        <v>8</v>
      </c>
      <c r="C28" s="32" t="s">
        <v>30</v>
      </c>
      <c r="D28" s="22" t="s">
        <v>235</v>
      </c>
      <c r="E28" s="16" t="str">
        <f t="shared" si="1"/>
        <v xml:space="preserve">かいせん </v>
      </c>
      <c r="F28" s="33" t="str">
        <f ca="1">IFERROR(__xludf.DUMMYFUNCTION("GOOGLETRANSLATE(E184, ""ja"",""en"")"),"seafood")</f>
        <v>seafood</v>
      </c>
    </row>
    <row r="29" spans="1:6">
      <c r="A29" s="81"/>
      <c r="B29" s="30" t="s">
        <v>8</v>
      </c>
      <c r="C29" s="32" t="s">
        <v>30</v>
      </c>
      <c r="D29" s="23" t="s">
        <v>236</v>
      </c>
      <c r="E29" s="16" t="s">
        <v>237</v>
      </c>
      <c r="F29" s="33" t="s">
        <v>805</v>
      </c>
    </row>
    <row r="30" spans="1:6">
      <c r="A30" s="81"/>
      <c r="B30" s="30" t="s">
        <v>8</v>
      </c>
      <c r="C30" s="32" t="s">
        <v>238</v>
      </c>
      <c r="D30" s="22" t="s">
        <v>239</v>
      </c>
      <c r="E30" s="16" t="str">
        <f t="shared" si="1"/>
        <v>いくら</v>
      </c>
      <c r="F30" s="33" t="str">
        <f ca="1">IFERROR(__xludf.DUMMYFUNCTION("GOOGLETRANSLATE(E186, ""ja"",""en"")"),"salmon roe")</f>
        <v>salmon roe</v>
      </c>
    </row>
    <row r="31" spans="1:6">
      <c r="A31" s="81"/>
      <c r="B31" s="30" t="s">
        <v>8</v>
      </c>
      <c r="C31" s="32" t="s">
        <v>240</v>
      </c>
      <c r="D31" s="22" t="s">
        <v>241</v>
      </c>
      <c r="E31" s="16" t="str">
        <f t="shared" si="1"/>
        <v>うに</v>
      </c>
      <c r="F31" s="33" t="str">
        <f ca="1">IFERROR(__xludf.DUMMYFUNCTION("GOOGLETRANSLATE(E187, ""ja"",""en"")"),"sea urchin")</f>
        <v>sea urchin</v>
      </c>
    </row>
    <row r="32" spans="1:6">
      <c r="A32" s="81"/>
      <c r="B32" s="30" t="s">
        <v>8</v>
      </c>
      <c r="C32" s="32" t="s">
        <v>240</v>
      </c>
      <c r="D32" s="22" t="s">
        <v>242</v>
      </c>
      <c r="E32" s="16" t="str">
        <f t="shared" si="1"/>
        <v>かに</v>
      </c>
      <c r="F32" s="33" t="str">
        <f ca="1">IFERROR(__xludf.DUMMYFUNCTION("GOOGLETRANSLATE(E188, ""ja"",""en"")"),"crab")</f>
        <v>crab</v>
      </c>
    </row>
    <row r="33" spans="1:8">
      <c r="A33" s="81"/>
      <c r="B33" s="30" t="s">
        <v>8</v>
      </c>
      <c r="C33" s="32" t="s">
        <v>240</v>
      </c>
      <c r="D33" s="22" t="s">
        <v>806</v>
      </c>
      <c r="E33" s="16" t="s">
        <v>807</v>
      </c>
      <c r="F33" s="33" t="s">
        <v>1384</v>
      </c>
    </row>
    <row r="34" spans="1:8" ht="38">
      <c r="A34" s="81"/>
      <c r="B34" s="31" t="s">
        <v>8</v>
      </c>
      <c r="C34" s="32" t="s">
        <v>34</v>
      </c>
      <c r="D34" s="20" t="s">
        <v>243</v>
      </c>
      <c r="E34" s="16" t="str">
        <f t="shared" si="1"/>
        <v xml:space="preserve">いしかりなべ </v>
      </c>
      <c r="F34" s="20" t="s">
        <v>1453</v>
      </c>
    </row>
    <row r="35" spans="1:8">
      <c r="A35" s="81"/>
      <c r="B35" s="30" t="s">
        <v>8</v>
      </c>
      <c r="C35" s="36" t="s">
        <v>36</v>
      </c>
      <c r="D35" s="23" t="s">
        <v>244</v>
      </c>
      <c r="E35" s="16" t="s">
        <v>245</v>
      </c>
      <c r="F35" s="20" t="s">
        <v>808</v>
      </c>
    </row>
    <row r="36" spans="1:8">
      <c r="A36" s="81"/>
      <c r="B36" s="30" t="s">
        <v>8</v>
      </c>
      <c r="C36" s="36" t="s">
        <v>36</v>
      </c>
      <c r="D36" s="22" t="s">
        <v>246</v>
      </c>
      <c r="E36" s="16" t="str">
        <f t="shared" si="1"/>
        <v xml:space="preserve">めいさんひん </v>
      </c>
      <c r="F36" s="20" t="s">
        <v>809</v>
      </c>
    </row>
    <row r="37" spans="1:8">
      <c r="A37" s="81"/>
      <c r="B37" s="30" t="s">
        <v>8</v>
      </c>
      <c r="C37" s="36" t="s">
        <v>36</v>
      </c>
      <c r="D37" s="22" t="s">
        <v>247</v>
      </c>
      <c r="E37" s="16" t="str">
        <f t="shared" si="1"/>
        <v xml:space="preserve">さけ </v>
      </c>
      <c r="F37" s="20" t="s">
        <v>810</v>
      </c>
    </row>
    <row r="38" spans="1:8">
      <c r="A38" s="81"/>
      <c r="B38" s="30" t="s">
        <v>8</v>
      </c>
      <c r="C38" s="32" t="s">
        <v>43</v>
      </c>
      <c r="D38" s="22" t="s">
        <v>248</v>
      </c>
      <c r="E38" s="16" t="s">
        <v>249</v>
      </c>
      <c r="F38" s="33" t="str">
        <f ca="1">IFERROR(__xludf.DUMMYFUNCTION("GOOGLETRANSLATE(E194, ""ja"",""en"")"),"spring vacation")</f>
        <v>spring vacation</v>
      </c>
    </row>
    <row r="39" spans="1:8">
      <c r="A39" s="81"/>
      <c r="B39" s="30" t="s">
        <v>8</v>
      </c>
      <c r="C39" s="32" t="s">
        <v>43</v>
      </c>
      <c r="D39" s="22" t="s">
        <v>250</v>
      </c>
      <c r="E39" s="16" t="str">
        <f t="shared" si="1"/>
        <v>ぐるめ</v>
      </c>
      <c r="F39" s="33" t="str">
        <f ca="1">IFERROR(__xludf.DUMMYFUNCTION("GOOGLETRANSLATE(E195, ""ja"",""en"")"),"gourmet")</f>
        <v>gourmet</v>
      </c>
    </row>
    <row r="40" spans="1:8">
      <c r="A40" s="81"/>
      <c r="B40" s="30" t="s">
        <v>8</v>
      </c>
      <c r="C40" s="32" t="s">
        <v>251</v>
      </c>
      <c r="D40" s="22" t="s">
        <v>252</v>
      </c>
      <c r="E40" s="16" t="str">
        <f t="shared" si="1"/>
        <v xml:space="preserve">おおさか </v>
      </c>
      <c r="F40" s="33" t="str">
        <f ca="1">IFERROR(__xludf.DUMMYFUNCTION("GOOGLETRANSLATE(E196, ""ja"",""en"")"),"Osaka")</f>
        <v>Osaka</v>
      </c>
    </row>
    <row r="41" spans="1:8">
      <c r="A41" s="81"/>
      <c r="B41" s="30" t="s">
        <v>8</v>
      </c>
      <c r="C41" s="32" t="s">
        <v>251</v>
      </c>
      <c r="D41" s="22" t="s">
        <v>253</v>
      </c>
      <c r="E41" s="16" t="str">
        <f t="shared" si="1"/>
        <v xml:space="preserve">しょうぎょう </v>
      </c>
      <c r="F41" s="33" t="str">
        <f ca="1">IFERROR(__xludf.DUMMYFUNCTION("GOOGLETRANSLATE(E240, ""ja"",""en"")"),"commerce")</f>
        <v>commerce</v>
      </c>
    </row>
    <row r="42" spans="1:8">
      <c r="A42" s="81"/>
      <c r="B42" s="30" t="s">
        <v>8</v>
      </c>
      <c r="C42" s="32" t="s">
        <v>251</v>
      </c>
      <c r="D42" s="22" t="s">
        <v>254</v>
      </c>
      <c r="E42" s="16" t="str">
        <f t="shared" si="1"/>
        <v xml:space="preserve">ちゅうしんち </v>
      </c>
      <c r="F42" s="33" t="str">
        <f ca="1">IFERROR(__xludf.DUMMYFUNCTION("GOOGLETRANSLATE(E197, ""ja"",""en"")"),"center")</f>
        <v>center</v>
      </c>
    </row>
    <row r="43" spans="1:8">
      <c r="A43" s="81"/>
      <c r="B43" s="30" t="s">
        <v>8</v>
      </c>
      <c r="C43" s="32" t="s">
        <v>49</v>
      </c>
      <c r="D43" s="23" t="s">
        <v>255</v>
      </c>
      <c r="E43" s="20" t="s">
        <v>256</v>
      </c>
      <c r="F43" s="20" t="s">
        <v>1454</v>
      </c>
      <c r="H43" s="37"/>
    </row>
    <row r="44" spans="1:8">
      <c r="A44" s="81"/>
      <c r="B44" s="30" t="s">
        <v>8</v>
      </c>
      <c r="C44" s="32" t="s">
        <v>257</v>
      </c>
      <c r="D44" s="22" t="s">
        <v>258</v>
      </c>
      <c r="E44" s="16" t="str">
        <f t="shared" si="1"/>
        <v xml:space="preserve">ぜんこく </v>
      </c>
      <c r="F44" s="33" t="str">
        <f ca="1">IFERROR(__xludf.DUMMYFUNCTION("GOOGLETRANSLATE(E241, ""ja"",""en"")"),"whole country")</f>
        <v>whole country</v>
      </c>
    </row>
    <row r="45" spans="1:8">
      <c r="A45" s="81"/>
      <c r="B45" s="30" t="s">
        <v>8</v>
      </c>
      <c r="C45" s="32" t="s">
        <v>257</v>
      </c>
      <c r="D45" s="22" t="s">
        <v>259</v>
      </c>
      <c r="E45" s="16" t="str">
        <f t="shared" si="1"/>
        <v xml:space="preserve">りゅうつう </v>
      </c>
      <c r="F45" s="33" t="str">
        <f ca="1">IFERROR(__xludf.DUMMYFUNCTION("GOOGLETRANSLATE(E227, ""ja"",""en"")"),"distribution")</f>
        <v>distribution</v>
      </c>
    </row>
    <row r="46" spans="1:8">
      <c r="A46" s="81"/>
      <c r="B46" s="30" t="s">
        <v>8</v>
      </c>
      <c r="C46" s="32" t="s">
        <v>257</v>
      </c>
      <c r="D46" s="22" t="s">
        <v>117</v>
      </c>
      <c r="E46" s="16" t="str">
        <f t="shared" si="1"/>
        <v xml:space="preserve">ちゅうしん </v>
      </c>
      <c r="F46" s="33" t="str">
        <f ca="1">IFERROR(__xludf.DUMMYFUNCTION("GOOGLETRANSLATE(E139, ""ja"",""en"")"),"center")</f>
        <v>center</v>
      </c>
    </row>
    <row r="47" spans="1:8">
      <c r="A47" s="81"/>
      <c r="B47" s="30" t="s">
        <v>8</v>
      </c>
      <c r="C47" s="32" t="s">
        <v>54</v>
      </c>
      <c r="D47" s="22" t="s">
        <v>811</v>
      </c>
      <c r="E47" s="16" t="s">
        <v>812</v>
      </c>
      <c r="F47" s="20" t="s">
        <v>813</v>
      </c>
    </row>
    <row r="48" spans="1:8">
      <c r="A48" s="81"/>
      <c r="B48" s="30" t="s">
        <v>8</v>
      </c>
      <c r="C48" s="32" t="s">
        <v>54</v>
      </c>
      <c r="D48" s="22" t="s">
        <v>260</v>
      </c>
      <c r="E48" s="16" t="str">
        <f t="shared" si="1"/>
        <v xml:space="preserve">にほんいち </v>
      </c>
      <c r="F48" s="33" t="s">
        <v>1455</v>
      </c>
    </row>
    <row r="49" spans="1:8">
      <c r="A49" s="81"/>
      <c r="B49" s="30" t="s">
        <v>8</v>
      </c>
      <c r="C49" s="32" t="s">
        <v>58</v>
      </c>
      <c r="D49" s="38" t="s">
        <v>1432</v>
      </c>
      <c r="E49" s="24" t="s">
        <v>1433</v>
      </c>
      <c r="F49" s="39" t="s">
        <v>1456</v>
      </c>
      <c r="G49" s="40"/>
      <c r="H49" s="41"/>
    </row>
    <row r="50" spans="1:8">
      <c r="A50" s="81"/>
      <c r="B50" s="30" t="s">
        <v>8</v>
      </c>
      <c r="C50" s="32" t="s">
        <v>58</v>
      </c>
      <c r="D50" s="22" t="s">
        <v>261</v>
      </c>
      <c r="E50" s="16" t="s">
        <v>262</v>
      </c>
      <c r="F50" s="33" t="str">
        <f ca="1">IFERROR(__xludf.DUMMYFUNCTION("GOOGLETRANSLATE(E203, ""ja"",""en"")"),"okonomiyaki")</f>
        <v>okonomiyaki</v>
      </c>
    </row>
    <row r="51" spans="1:8">
      <c r="A51" s="81"/>
      <c r="B51" s="30" t="s">
        <v>8</v>
      </c>
      <c r="C51" s="32" t="s">
        <v>58</v>
      </c>
      <c r="D51" s="22" t="s">
        <v>263</v>
      </c>
      <c r="E51" s="16" t="str">
        <f t="shared" si="1"/>
        <v xml:space="preserve">じもと </v>
      </c>
      <c r="F51" s="33" t="str">
        <f ca="1">IFERROR(__xludf.DUMMYFUNCTION("GOOGLETRANSLATE(E228, ""ja"",""en"")"),"local")</f>
        <v>local</v>
      </c>
    </row>
    <row r="52" spans="1:8">
      <c r="A52" s="81"/>
      <c r="B52" s="30" t="s">
        <v>8</v>
      </c>
      <c r="C52" s="32" t="s">
        <v>58</v>
      </c>
      <c r="D52" s="22" t="s">
        <v>814</v>
      </c>
      <c r="E52" s="16" t="s">
        <v>815</v>
      </c>
      <c r="F52" s="42" t="s">
        <v>1457</v>
      </c>
    </row>
    <row r="53" spans="1:8">
      <c r="A53" s="81"/>
      <c r="B53" s="30" t="s">
        <v>8</v>
      </c>
      <c r="C53" s="32" t="s">
        <v>60</v>
      </c>
      <c r="D53" s="22" t="s">
        <v>744</v>
      </c>
      <c r="E53" s="16" t="s">
        <v>816</v>
      </c>
      <c r="F53" s="42" t="str">
        <f ca="1">IFERROR(__xludf.DUMMYFUNCTION("GOOGLETRANSLATE(E146, ""ja"",""en"")"),"feel")</f>
        <v>feel</v>
      </c>
    </row>
    <row r="54" spans="1:8">
      <c r="A54" s="81"/>
      <c r="B54" s="30" t="s">
        <v>8</v>
      </c>
      <c r="C54" s="32" t="s">
        <v>63</v>
      </c>
      <c r="D54" s="22" t="s">
        <v>264</v>
      </c>
      <c r="E54" s="16" t="str">
        <f t="shared" si="1"/>
        <v xml:space="preserve">ながの </v>
      </c>
      <c r="F54" s="33" t="str">
        <f ca="1">IFERROR(__xludf.DUMMYFUNCTION("GOOGLETRANSLATE(E204, ""ja"",""en"")"),"Nagano")</f>
        <v>Nagano</v>
      </c>
    </row>
    <row r="55" spans="1:8">
      <c r="A55" s="81"/>
      <c r="B55" s="30" t="s">
        <v>8</v>
      </c>
      <c r="C55" s="32" t="s">
        <v>66</v>
      </c>
      <c r="D55" s="22" t="s">
        <v>265</v>
      </c>
      <c r="E55" s="16" t="s">
        <v>266</v>
      </c>
      <c r="F55" s="33" t="s">
        <v>817</v>
      </c>
    </row>
    <row r="56" spans="1:8">
      <c r="A56" s="81"/>
      <c r="B56" s="30" t="s">
        <v>8</v>
      </c>
      <c r="C56" s="32" t="s">
        <v>66</v>
      </c>
      <c r="D56" s="22" t="s">
        <v>267</v>
      </c>
      <c r="E56" s="16" t="str">
        <f t="shared" si="1"/>
        <v>そば</v>
      </c>
      <c r="F56" s="20" t="s">
        <v>818</v>
      </c>
    </row>
    <row r="57" spans="1:8">
      <c r="A57" s="81"/>
      <c r="B57" s="30" t="s">
        <v>8</v>
      </c>
      <c r="C57" s="32" t="s">
        <v>66</v>
      </c>
      <c r="D57" s="22" t="s">
        <v>820</v>
      </c>
      <c r="E57" s="16" t="s">
        <v>821</v>
      </c>
      <c r="F57" s="20" t="s">
        <v>819</v>
      </c>
    </row>
    <row r="58" spans="1:8">
      <c r="A58" s="81"/>
      <c r="B58" s="30" t="s">
        <v>8</v>
      </c>
      <c r="C58" s="32" t="s">
        <v>66</v>
      </c>
      <c r="D58" s="23" t="s">
        <v>268</v>
      </c>
      <c r="E58" s="16" t="str">
        <f t="shared" si="1"/>
        <v>まるで</v>
      </c>
      <c r="F58" s="33" t="str">
        <f ca="1">IFERROR(__xludf.DUMMYFUNCTION("GOOGLETRANSLATE(E248, ""ja"",""en"")"),"as if")</f>
        <v>as if</v>
      </c>
    </row>
    <row r="59" spans="1:8">
      <c r="A59" s="81"/>
      <c r="B59" s="30" t="s">
        <v>8</v>
      </c>
      <c r="C59" s="32" t="s">
        <v>68</v>
      </c>
      <c r="D59" s="22" t="s">
        <v>269</v>
      </c>
      <c r="E59" s="16" t="s">
        <v>3581</v>
      </c>
      <c r="F59" s="33" t="str">
        <f ca="1">IFERROR(__xludf.DUMMYFUNCTION("GOOGLETRANSLATE(E249, ""ja"",""en"")"),"Europe")</f>
        <v>Europe</v>
      </c>
    </row>
    <row r="60" spans="1:8">
      <c r="A60" s="81"/>
      <c r="B60" s="30" t="s">
        <v>8</v>
      </c>
      <c r="C60" s="32" t="s">
        <v>68</v>
      </c>
      <c r="D60" s="23" t="s">
        <v>1482</v>
      </c>
      <c r="E60" s="16" t="s">
        <v>822</v>
      </c>
      <c r="F60" s="33" t="str">
        <f ca="1">IFERROR(__xludf.DUMMYFUNCTION("GOOGLETRANSLATE(E208, ""ja"",""en"")"),"cool")</f>
        <v>cool</v>
      </c>
    </row>
    <row r="61" spans="1:8">
      <c r="A61" s="81"/>
      <c r="B61" s="30" t="s">
        <v>8</v>
      </c>
      <c r="C61" s="32" t="s">
        <v>179</v>
      </c>
      <c r="D61" s="23" t="s">
        <v>270</v>
      </c>
      <c r="E61" s="20" t="s">
        <v>271</v>
      </c>
      <c r="F61" s="33" t="s">
        <v>1434</v>
      </c>
    </row>
    <row r="62" spans="1:8">
      <c r="A62" s="81"/>
      <c r="B62" s="30" t="s">
        <v>8</v>
      </c>
      <c r="C62" s="32" t="s">
        <v>179</v>
      </c>
      <c r="D62" s="22" t="s">
        <v>272</v>
      </c>
      <c r="E62" s="16" t="str">
        <f t="shared" si="1"/>
        <v xml:space="preserve">さいてき </v>
      </c>
      <c r="F62" s="33" t="s">
        <v>1435</v>
      </c>
    </row>
    <row r="63" spans="1:8">
      <c r="A63" s="81"/>
      <c r="B63" s="30" t="s">
        <v>8</v>
      </c>
      <c r="C63" s="32" t="s">
        <v>273</v>
      </c>
      <c r="D63" s="22" t="s">
        <v>274</v>
      </c>
      <c r="E63" s="16" t="s">
        <v>275</v>
      </c>
      <c r="F63" s="33" t="s">
        <v>1458</v>
      </c>
    </row>
    <row r="64" spans="1:8">
      <c r="A64" s="81"/>
      <c r="B64" s="30" t="s">
        <v>8</v>
      </c>
      <c r="C64" s="32" t="s">
        <v>273</v>
      </c>
      <c r="D64" s="22" t="s">
        <v>276</v>
      </c>
      <c r="E64" s="16" t="str">
        <f t="shared" si="1"/>
        <v xml:space="preserve">かくべつ </v>
      </c>
      <c r="F64" s="20" t="s">
        <v>823</v>
      </c>
    </row>
    <row r="65" spans="1:6">
      <c r="A65" s="81"/>
      <c r="B65" s="30" t="s">
        <v>8</v>
      </c>
      <c r="C65" s="32" t="s">
        <v>73</v>
      </c>
      <c r="D65" s="22" t="s">
        <v>277</v>
      </c>
      <c r="E65" s="16" t="s">
        <v>1459</v>
      </c>
      <c r="F65" s="33" t="str">
        <f ca="1">IFERROR(__xludf.DUMMYFUNCTION("GOOGLETRANSLATE(E250, ""ja"",""en"")"),"autumn leaves")</f>
        <v>autumn leaves</v>
      </c>
    </row>
    <row r="66" spans="1:6">
      <c r="A66" s="81"/>
      <c r="B66" s="30" t="s">
        <v>8</v>
      </c>
      <c r="C66" s="32" t="s">
        <v>73</v>
      </c>
      <c r="D66" s="22" t="s">
        <v>278</v>
      </c>
      <c r="E66" s="16" t="str">
        <f t="shared" si="1"/>
        <v xml:space="preserve">もくてき </v>
      </c>
      <c r="F66" s="33" t="str">
        <f ca="1">IFERROR(__xludf.DUMMYFUNCTION("GOOGLETRANSLATE(E251, ""ja"",""en"")"),"purpose")</f>
        <v>purpose</v>
      </c>
    </row>
    <row r="67" spans="1:6">
      <c r="A67" s="81"/>
      <c r="B67" s="30" t="s">
        <v>8</v>
      </c>
      <c r="C67" s="32" t="s">
        <v>279</v>
      </c>
      <c r="D67" s="22" t="s">
        <v>280</v>
      </c>
      <c r="E67" s="16" t="str">
        <f t="shared" si="1"/>
        <v xml:space="preserve">ながさき </v>
      </c>
      <c r="F67" s="33" t="str">
        <f ca="1">IFERROR(__xludf.DUMMYFUNCTION("GOOGLETRANSLATE(E212, ""ja"",""en"")"),"Nagasaki")</f>
        <v>Nagasaki</v>
      </c>
    </row>
    <row r="68" spans="1:6">
      <c r="A68" s="81"/>
      <c r="B68" s="30" t="s">
        <v>8</v>
      </c>
      <c r="C68" s="32" t="s">
        <v>279</v>
      </c>
      <c r="D68" s="22" t="s">
        <v>923</v>
      </c>
      <c r="E68" s="16" t="s">
        <v>924</v>
      </c>
      <c r="F68" s="33" t="s">
        <v>925</v>
      </c>
    </row>
    <row r="69" spans="1:6">
      <c r="A69" s="81"/>
      <c r="B69" s="30" t="s">
        <v>8</v>
      </c>
      <c r="C69" s="32" t="s">
        <v>279</v>
      </c>
      <c r="D69" s="22" t="s">
        <v>281</v>
      </c>
      <c r="E69" s="16" t="s">
        <v>282</v>
      </c>
      <c r="F69" s="33" t="s">
        <v>824</v>
      </c>
    </row>
    <row r="70" spans="1:6">
      <c r="A70" s="81"/>
      <c r="B70" s="30" t="s">
        <v>8</v>
      </c>
      <c r="C70" s="32" t="s">
        <v>186</v>
      </c>
      <c r="D70" s="22" t="s">
        <v>283</v>
      </c>
      <c r="E70" s="16" t="str">
        <f t="shared" si="1"/>
        <v>そこ</v>
      </c>
      <c r="F70" s="33" t="str">
        <f ca="1">IFERROR(__xludf.DUMMYFUNCTION("GOOGLETRANSLATE(E245, ""ja"",""en"")"),"there")</f>
        <v>there</v>
      </c>
    </row>
    <row r="71" spans="1:6">
      <c r="A71" s="81"/>
      <c r="B71" s="30" t="s">
        <v>8</v>
      </c>
      <c r="C71" s="32" t="s">
        <v>188</v>
      </c>
      <c r="D71" s="22" t="s">
        <v>284</v>
      </c>
      <c r="E71" s="16" t="str">
        <f t="shared" si="1"/>
        <v xml:space="preserve">せってん </v>
      </c>
      <c r="F71" s="33" t="s">
        <v>825</v>
      </c>
    </row>
    <row r="72" spans="1:6">
      <c r="A72" s="81"/>
      <c r="B72" s="30" t="s">
        <v>8</v>
      </c>
      <c r="C72" s="32" t="s">
        <v>188</v>
      </c>
      <c r="D72" s="22" t="s">
        <v>17</v>
      </c>
      <c r="E72" s="16" t="str">
        <f t="shared" si="1"/>
        <v xml:space="preserve">かいがい </v>
      </c>
      <c r="F72" s="33" t="str">
        <f ca="1">IFERROR(__xludf.DUMMYFUNCTION("GOOGLETRANSLATE(E46, ""ja"",""en"")"),"overseas")</f>
        <v>overseas</v>
      </c>
    </row>
    <row r="73" spans="1:6">
      <c r="A73" s="81"/>
      <c r="B73" s="30" t="s">
        <v>8</v>
      </c>
      <c r="C73" s="32" t="s">
        <v>188</v>
      </c>
      <c r="D73" s="22" t="s">
        <v>285</v>
      </c>
      <c r="E73" s="16" t="str">
        <f t="shared" si="1"/>
        <v xml:space="preserve">えいきょう </v>
      </c>
      <c r="F73" s="33" t="s">
        <v>826</v>
      </c>
    </row>
    <row r="74" spans="1:6">
      <c r="A74" s="81"/>
      <c r="B74" s="30" t="s">
        <v>8</v>
      </c>
      <c r="C74" s="32" t="s">
        <v>286</v>
      </c>
      <c r="D74" s="23" t="s">
        <v>287</v>
      </c>
      <c r="E74" s="24" t="s">
        <v>288</v>
      </c>
      <c r="F74" s="33" t="s">
        <v>289</v>
      </c>
    </row>
    <row r="75" spans="1:6">
      <c r="A75" s="81"/>
      <c r="B75" s="30" t="s">
        <v>8</v>
      </c>
      <c r="C75" s="32" t="s">
        <v>286</v>
      </c>
      <c r="D75" s="22" t="s">
        <v>290</v>
      </c>
      <c r="E75" s="16" t="str">
        <f t="shared" ref="E75:E132" si="2">PHONETIC(D75)</f>
        <v xml:space="preserve">ゆらい </v>
      </c>
      <c r="F75" s="33" t="s">
        <v>827</v>
      </c>
    </row>
    <row r="76" spans="1:6">
      <c r="A76" s="81"/>
      <c r="B76" s="30" t="s">
        <v>8</v>
      </c>
      <c r="C76" s="32" t="s">
        <v>286</v>
      </c>
      <c r="D76" s="22" t="s">
        <v>291</v>
      </c>
      <c r="E76" s="16" t="str">
        <f t="shared" si="2"/>
        <v xml:space="preserve">ぎょうざ </v>
      </c>
      <c r="F76" s="33" t="str">
        <f ca="1">IFERROR(__xludf.DUMMYFUNCTION("GOOGLETRANSLATE(E219, ""ja"",""en"")"),"Chinese dumpling")</f>
        <v>Chinese dumpling</v>
      </c>
    </row>
    <row r="77" spans="1:6" ht="38">
      <c r="A77" s="81"/>
      <c r="B77" s="31" t="s">
        <v>8</v>
      </c>
      <c r="C77" s="32" t="s">
        <v>286</v>
      </c>
      <c r="D77" s="16" t="s">
        <v>292</v>
      </c>
      <c r="E77" s="16" t="str">
        <f t="shared" si="2"/>
        <v>ちゃんぽん</v>
      </c>
      <c r="F77" s="25" t="s">
        <v>828</v>
      </c>
    </row>
    <row r="78" spans="1:6">
      <c r="A78" s="81"/>
      <c r="B78" s="30" t="s">
        <v>8</v>
      </c>
      <c r="C78" s="32" t="s">
        <v>194</v>
      </c>
      <c r="D78" s="22" t="s">
        <v>294</v>
      </c>
      <c r="E78" s="16" t="s">
        <v>295</v>
      </c>
      <c r="F78" s="20" t="s">
        <v>829</v>
      </c>
    </row>
    <row r="79" spans="1:6">
      <c r="A79" s="81"/>
      <c r="B79" s="30" t="s">
        <v>8</v>
      </c>
      <c r="C79" s="32" t="s">
        <v>194</v>
      </c>
      <c r="D79" s="22" t="s">
        <v>831</v>
      </c>
      <c r="E79" s="16" t="s">
        <v>832</v>
      </c>
      <c r="F79" s="33" t="s">
        <v>830</v>
      </c>
    </row>
    <row r="80" spans="1:6">
      <c r="A80" s="81"/>
      <c r="B80" s="30" t="s">
        <v>8</v>
      </c>
      <c r="C80" s="32" t="s">
        <v>296</v>
      </c>
      <c r="D80" s="22" t="s">
        <v>297</v>
      </c>
      <c r="E80" s="16" t="str">
        <f t="shared" si="2"/>
        <v>かすてら</v>
      </c>
      <c r="F80" s="33" t="s">
        <v>833</v>
      </c>
    </row>
    <row r="81" spans="1:6">
      <c r="A81" s="81"/>
      <c r="B81" s="30" t="s">
        <v>8</v>
      </c>
      <c r="C81" s="32" t="s">
        <v>296</v>
      </c>
      <c r="D81" s="22" t="s">
        <v>298</v>
      </c>
      <c r="E81" s="16" t="s">
        <v>299</v>
      </c>
      <c r="F81" s="20" t="s">
        <v>834</v>
      </c>
    </row>
    <row r="82" spans="1:6">
      <c r="A82" s="81"/>
      <c r="B82" s="30" t="s">
        <v>8</v>
      </c>
      <c r="C82" s="32" t="s">
        <v>296</v>
      </c>
      <c r="D82" s="23" t="s">
        <v>300</v>
      </c>
      <c r="E82" s="16" t="str">
        <f t="shared" si="2"/>
        <v>しっとりする</v>
      </c>
      <c r="F82" s="33" t="s">
        <v>1403</v>
      </c>
    </row>
    <row r="83" spans="1:6">
      <c r="A83" s="81"/>
      <c r="B83" s="30" t="s">
        <v>8</v>
      </c>
      <c r="C83" s="32" t="s">
        <v>296</v>
      </c>
      <c r="D83" s="23" t="s">
        <v>301</v>
      </c>
      <c r="E83" s="16" t="str">
        <f t="shared" si="2"/>
        <v>じょうひん （な）</v>
      </c>
      <c r="F83" s="33" t="str">
        <f ca="1">IFERROR(__xludf.DUMMYFUNCTION("GOOGLETRANSLATE(E256, ""ja"",""en"")"),"elegant")</f>
        <v>elegant</v>
      </c>
    </row>
    <row r="84" spans="1:6">
      <c r="A84" s="81"/>
      <c r="B84" s="30" t="s">
        <v>8</v>
      </c>
      <c r="C84" s="32" t="s">
        <v>197</v>
      </c>
      <c r="D84" s="22" t="s">
        <v>302</v>
      </c>
      <c r="E84" s="16" t="s">
        <v>303</v>
      </c>
      <c r="F84" s="33" t="s">
        <v>835</v>
      </c>
    </row>
    <row r="85" spans="1:6">
      <c r="A85" s="81"/>
      <c r="B85" s="30" t="s">
        <v>8</v>
      </c>
      <c r="C85" s="32" t="s">
        <v>304</v>
      </c>
      <c r="D85" s="23" t="s">
        <v>733</v>
      </c>
      <c r="E85" s="16" t="s">
        <v>734</v>
      </c>
      <c r="F85" s="28" t="s">
        <v>735</v>
      </c>
    </row>
    <row r="86" spans="1:6">
      <c r="A86" s="81"/>
      <c r="B86" s="31" t="s">
        <v>77</v>
      </c>
      <c r="C86" s="32" t="s">
        <v>3</v>
      </c>
      <c r="D86" s="23" t="s">
        <v>305</v>
      </c>
      <c r="E86" s="16" t="str">
        <f t="shared" si="2"/>
        <v>による</v>
      </c>
      <c r="F86" s="33" t="s">
        <v>836</v>
      </c>
    </row>
    <row r="87" spans="1:6">
      <c r="A87" s="81"/>
      <c r="B87" s="31" t="s">
        <v>77</v>
      </c>
      <c r="C87" s="32" t="s">
        <v>3</v>
      </c>
      <c r="D87" s="23" t="s">
        <v>306</v>
      </c>
      <c r="E87" s="20" t="s">
        <v>307</v>
      </c>
      <c r="F87" s="33" t="s">
        <v>1460</v>
      </c>
    </row>
    <row r="88" spans="1:6">
      <c r="A88" s="81"/>
      <c r="B88" s="31" t="s">
        <v>83</v>
      </c>
      <c r="C88" s="32" t="s">
        <v>6</v>
      </c>
      <c r="D88" s="23" t="s">
        <v>308</v>
      </c>
      <c r="E88" s="20" t="s">
        <v>309</v>
      </c>
      <c r="F88" s="20" t="s">
        <v>787</v>
      </c>
    </row>
    <row r="89" spans="1:6">
      <c r="A89" s="81"/>
      <c r="B89" s="31" t="s">
        <v>83</v>
      </c>
      <c r="C89" s="32" t="s">
        <v>6</v>
      </c>
      <c r="D89" s="22" t="s">
        <v>837</v>
      </c>
      <c r="E89" s="16" t="s">
        <v>838</v>
      </c>
      <c r="F89" s="20" t="s">
        <v>1404</v>
      </c>
    </row>
    <row r="90" spans="1:6">
      <c r="A90" s="81"/>
      <c r="B90" s="31" t="s">
        <v>83</v>
      </c>
      <c r="C90" s="32" t="s">
        <v>6</v>
      </c>
      <c r="D90" s="22" t="s">
        <v>761</v>
      </c>
      <c r="E90" s="16" t="s">
        <v>762</v>
      </c>
      <c r="F90" s="33" t="s">
        <v>1405</v>
      </c>
    </row>
    <row r="91" spans="1:6">
      <c r="A91" s="81"/>
      <c r="B91" s="31" t="s">
        <v>83</v>
      </c>
      <c r="C91" s="32" t="s">
        <v>6</v>
      </c>
      <c r="D91" s="22" t="s">
        <v>839</v>
      </c>
      <c r="E91" s="16" t="s">
        <v>840</v>
      </c>
      <c r="F91" s="20" t="s">
        <v>1406</v>
      </c>
    </row>
    <row r="92" spans="1:6">
      <c r="A92" s="81"/>
      <c r="B92" s="31" t="s">
        <v>83</v>
      </c>
      <c r="C92" s="32" t="s">
        <v>6</v>
      </c>
      <c r="D92" s="23" t="s">
        <v>310</v>
      </c>
      <c r="E92" s="16" t="str">
        <f t="shared" si="2"/>
        <v xml:space="preserve">かんこう きゃく </v>
      </c>
      <c r="F92" s="33" t="s">
        <v>841</v>
      </c>
    </row>
    <row r="93" spans="1:6">
      <c r="A93" s="81"/>
      <c r="B93" s="31" t="s">
        <v>83</v>
      </c>
      <c r="C93" s="32" t="s">
        <v>6</v>
      </c>
      <c r="D93" s="23" t="s">
        <v>795</v>
      </c>
      <c r="E93" s="20" t="s">
        <v>796</v>
      </c>
      <c r="F93" s="33" t="s">
        <v>703</v>
      </c>
    </row>
    <row r="94" spans="1:6">
      <c r="A94" s="81"/>
      <c r="B94" s="31" t="s">
        <v>83</v>
      </c>
      <c r="C94" s="32" t="s">
        <v>6</v>
      </c>
      <c r="D94" s="22" t="s">
        <v>311</v>
      </c>
      <c r="E94" s="16" t="str">
        <f t="shared" si="2"/>
        <v>めりっと</v>
      </c>
      <c r="F94" s="33" t="str">
        <f ca="1">IFERROR(__xludf.DUMMYFUNCTION("GOOGLETRANSLATE(E289, ""ja"",""en"")"),"merit")</f>
        <v>merit</v>
      </c>
    </row>
    <row r="95" spans="1:6">
      <c r="A95" s="81"/>
      <c r="B95" s="31" t="s">
        <v>83</v>
      </c>
      <c r="C95" s="32" t="s">
        <v>6</v>
      </c>
      <c r="D95" s="22" t="s">
        <v>842</v>
      </c>
      <c r="E95" s="16" t="s">
        <v>842</v>
      </c>
      <c r="F95" s="33" t="s">
        <v>1436</v>
      </c>
    </row>
    <row r="96" spans="1:6">
      <c r="A96" s="81"/>
      <c r="B96" s="31" t="s">
        <v>83</v>
      </c>
      <c r="C96" s="32" t="s">
        <v>6</v>
      </c>
      <c r="D96" s="22" t="s">
        <v>312</v>
      </c>
      <c r="E96" s="16" t="s">
        <v>3580</v>
      </c>
      <c r="F96" s="20" t="s">
        <v>1407</v>
      </c>
    </row>
    <row r="97" spans="1:6">
      <c r="A97" s="81"/>
      <c r="B97" s="31" t="s">
        <v>83</v>
      </c>
      <c r="C97" s="32" t="s">
        <v>12</v>
      </c>
      <c r="D97" s="22" t="s">
        <v>313</v>
      </c>
      <c r="E97" s="16" t="str">
        <f t="shared" si="2"/>
        <v xml:space="preserve">とし </v>
      </c>
      <c r="F97" s="33" t="str">
        <f ca="1">IFERROR(__xludf.DUMMYFUNCTION("GOOGLETRANSLATE(E506, ""ja"",""en"")"),"city")</f>
        <v>city</v>
      </c>
    </row>
    <row r="98" spans="1:6">
      <c r="A98" s="81"/>
      <c r="B98" s="31" t="s">
        <v>83</v>
      </c>
      <c r="C98" s="32" t="s">
        <v>12</v>
      </c>
      <c r="D98" s="22" t="s">
        <v>314</v>
      </c>
      <c r="E98" s="16" t="str">
        <f t="shared" si="2"/>
        <v xml:space="preserve">しょうしこうれいか </v>
      </c>
      <c r="F98" s="20" t="s">
        <v>843</v>
      </c>
    </row>
    <row r="99" spans="1:6">
      <c r="A99" s="81"/>
      <c r="B99" s="31" t="s">
        <v>83</v>
      </c>
      <c r="C99" s="32" t="s">
        <v>18</v>
      </c>
      <c r="D99" s="22" t="s">
        <v>315</v>
      </c>
      <c r="E99" s="16" t="str">
        <f t="shared" si="2"/>
        <v xml:space="preserve">けいざい </v>
      </c>
      <c r="F99" s="20" t="s">
        <v>844</v>
      </c>
    </row>
    <row r="100" spans="1:6">
      <c r="A100" s="81"/>
      <c r="B100" s="31" t="s">
        <v>83</v>
      </c>
      <c r="C100" s="32" t="s">
        <v>18</v>
      </c>
      <c r="D100" s="22" t="s">
        <v>316</v>
      </c>
      <c r="E100" s="16" t="s">
        <v>317</v>
      </c>
      <c r="F100" s="33" t="s">
        <v>1461</v>
      </c>
    </row>
    <row r="101" spans="1:6">
      <c r="A101" s="81"/>
      <c r="B101" s="31" t="s">
        <v>83</v>
      </c>
      <c r="C101" s="32" t="s">
        <v>18</v>
      </c>
      <c r="D101" s="22" t="s">
        <v>845</v>
      </c>
      <c r="E101" s="16" t="s">
        <v>846</v>
      </c>
      <c r="F101" s="33" t="s">
        <v>847</v>
      </c>
    </row>
    <row r="102" spans="1:6">
      <c r="A102" s="81"/>
      <c r="B102" s="31" t="s">
        <v>83</v>
      </c>
      <c r="C102" s="32" t="s">
        <v>18</v>
      </c>
      <c r="D102" s="23" t="s">
        <v>318</v>
      </c>
      <c r="E102" s="16" t="str">
        <f t="shared" si="2"/>
        <v>つつある</v>
      </c>
      <c r="F102" s="33" t="s">
        <v>855</v>
      </c>
    </row>
    <row r="103" spans="1:6">
      <c r="A103" s="81"/>
      <c r="B103" s="31" t="s">
        <v>83</v>
      </c>
      <c r="C103" s="32" t="s">
        <v>21</v>
      </c>
      <c r="D103" s="22" t="s">
        <v>87</v>
      </c>
      <c r="E103" s="16" t="str">
        <f t="shared" si="2"/>
        <v xml:space="preserve">みりょく </v>
      </c>
      <c r="F103" s="33" t="str">
        <f ca="1">IFERROR(__xludf.DUMMYFUNCTION("GOOGLETRANSLATE(E126, ""ja"",""en"")"),"charm")</f>
        <v>charm</v>
      </c>
    </row>
    <row r="104" spans="1:6">
      <c r="A104" s="81"/>
      <c r="B104" s="31" t="s">
        <v>83</v>
      </c>
      <c r="C104" s="32" t="s">
        <v>21</v>
      </c>
      <c r="D104" s="22" t="s">
        <v>848</v>
      </c>
      <c r="E104" s="16" t="s">
        <v>849</v>
      </c>
      <c r="F104" s="33" t="s">
        <v>1437</v>
      </c>
    </row>
    <row r="105" spans="1:6">
      <c r="A105" s="81"/>
      <c r="B105" s="31" t="s">
        <v>83</v>
      </c>
      <c r="C105" s="32" t="s">
        <v>23</v>
      </c>
      <c r="D105" s="22" t="s">
        <v>850</v>
      </c>
      <c r="E105" s="16" t="s">
        <v>851</v>
      </c>
      <c r="F105" s="33" t="s">
        <v>856</v>
      </c>
    </row>
    <row r="106" spans="1:6">
      <c r="A106" s="81"/>
      <c r="B106" s="31" t="s">
        <v>83</v>
      </c>
      <c r="C106" s="32" t="s">
        <v>23</v>
      </c>
      <c r="D106" s="23" t="s">
        <v>319</v>
      </c>
      <c r="E106" s="20" t="s">
        <v>320</v>
      </c>
      <c r="F106" s="33" t="str">
        <f ca="1">IFERROR(__xludf.DUMMYFUNCTION("GOOGLETRANSLATE(E64, ""ja"",""en"")"),"various")</f>
        <v>various</v>
      </c>
    </row>
    <row r="107" spans="1:6">
      <c r="A107" s="81"/>
      <c r="B107" s="31" t="s">
        <v>83</v>
      </c>
      <c r="C107" s="32" t="s">
        <v>27</v>
      </c>
      <c r="D107" s="22" t="s">
        <v>321</v>
      </c>
      <c r="E107" s="16" t="str">
        <f t="shared" si="2"/>
        <v xml:space="preserve">いっかん </v>
      </c>
      <c r="F107" s="33" t="s">
        <v>858</v>
      </c>
    </row>
    <row r="108" spans="1:6">
      <c r="A108" s="81"/>
      <c r="B108" s="31" t="s">
        <v>83</v>
      </c>
      <c r="C108" s="32" t="s">
        <v>27</v>
      </c>
      <c r="D108" s="22" t="s">
        <v>852</v>
      </c>
      <c r="E108" s="16" t="s">
        <v>853</v>
      </c>
      <c r="F108" s="33" t="s">
        <v>857</v>
      </c>
    </row>
    <row r="109" spans="1:6">
      <c r="A109" s="81"/>
      <c r="B109" s="31" t="s">
        <v>83</v>
      </c>
      <c r="C109" s="32" t="s">
        <v>30</v>
      </c>
      <c r="D109" s="22" t="s">
        <v>322</v>
      </c>
      <c r="E109" s="16" t="s">
        <v>323</v>
      </c>
      <c r="F109" s="33" t="str">
        <f ca="1">IFERROR(__xludf.DUMMYFUNCTION("GOOGLETRANSLATE(E251, ""ja"",""en"")"),"purpose")</f>
        <v>purpose</v>
      </c>
    </row>
    <row r="110" spans="1:6">
      <c r="A110" s="81"/>
      <c r="B110" s="31" t="s">
        <v>83</v>
      </c>
      <c r="C110" s="32" t="s">
        <v>238</v>
      </c>
      <c r="D110" s="22" t="s">
        <v>324</v>
      </c>
      <c r="E110" s="16" t="s">
        <v>325</v>
      </c>
      <c r="F110" s="33" t="str">
        <f ca="1">IFERROR(__xludf.DUMMYFUNCTION("GOOGLETRANSLATE(E265, ""ja"",""en"")"),"aim")</f>
        <v>aim</v>
      </c>
    </row>
    <row r="111" spans="1:6">
      <c r="A111" s="81"/>
      <c r="B111" s="31" t="s">
        <v>83</v>
      </c>
      <c r="C111" s="32" t="s">
        <v>238</v>
      </c>
      <c r="D111" s="23" t="s">
        <v>326</v>
      </c>
      <c r="E111" s="20" t="s">
        <v>327</v>
      </c>
      <c r="F111" s="33" t="s">
        <v>1438</v>
      </c>
    </row>
    <row r="112" spans="1:6">
      <c r="A112" s="81"/>
      <c r="B112" s="31" t="s">
        <v>83</v>
      </c>
      <c r="C112" s="32" t="s">
        <v>238</v>
      </c>
      <c r="D112" s="22" t="s">
        <v>854</v>
      </c>
      <c r="E112" s="16" t="s">
        <v>854</v>
      </c>
      <c r="F112" s="33" t="s">
        <v>859</v>
      </c>
    </row>
    <row r="113" spans="1:6">
      <c r="A113" s="81"/>
      <c r="B113" s="31" t="s">
        <v>83</v>
      </c>
      <c r="C113" s="32" t="s">
        <v>34</v>
      </c>
      <c r="D113" s="22" t="s">
        <v>328</v>
      </c>
      <c r="E113" s="16" t="s">
        <v>329</v>
      </c>
      <c r="F113" s="29" t="s">
        <v>861</v>
      </c>
    </row>
    <row r="114" spans="1:6">
      <c r="A114" s="81"/>
      <c r="B114" s="31" t="s">
        <v>83</v>
      </c>
      <c r="C114" s="32" t="s">
        <v>34</v>
      </c>
      <c r="D114" s="23" t="s">
        <v>330</v>
      </c>
      <c r="E114" s="20" t="s">
        <v>331</v>
      </c>
      <c r="F114" s="33" t="s">
        <v>860</v>
      </c>
    </row>
    <row r="115" spans="1:6">
      <c r="A115" s="81"/>
      <c r="B115" s="31" t="s">
        <v>83</v>
      </c>
      <c r="C115" s="32" t="s">
        <v>34</v>
      </c>
      <c r="D115" s="22" t="s">
        <v>332</v>
      </c>
      <c r="E115" s="16" t="str">
        <f t="shared" si="2"/>
        <v xml:space="preserve">かがわ </v>
      </c>
      <c r="F115" s="33" t="str">
        <f ca="1">IFERROR(__xludf.DUMMYFUNCTION("GOOGLETRANSLATE(E269, ""ja"",""en"")"),"Kagawa")</f>
        <v>Kagawa</v>
      </c>
    </row>
    <row r="116" spans="1:6">
      <c r="A116" s="81"/>
      <c r="B116" s="31" t="s">
        <v>83</v>
      </c>
      <c r="C116" s="32" t="s">
        <v>39</v>
      </c>
      <c r="D116" s="22" t="s">
        <v>864</v>
      </c>
      <c r="E116" s="16" t="s">
        <v>865</v>
      </c>
      <c r="F116" s="33" t="s">
        <v>866</v>
      </c>
    </row>
    <row r="117" spans="1:6">
      <c r="A117" s="81"/>
      <c r="B117" s="31" t="s">
        <v>83</v>
      </c>
      <c r="C117" s="32" t="s">
        <v>39</v>
      </c>
      <c r="D117" s="22" t="s">
        <v>867</v>
      </c>
      <c r="E117" s="16" t="s">
        <v>868</v>
      </c>
      <c r="F117" s="33" t="str">
        <f ca="1">IFERROR(__xludf.DUMMYFUNCTION("GOOGLETRANSLATE(E272, ""ja"",""en"")"),"to stroll")</f>
        <v>to stroll</v>
      </c>
    </row>
    <row r="118" spans="1:6">
      <c r="A118" s="81"/>
      <c r="B118" s="31" t="s">
        <v>83</v>
      </c>
      <c r="C118" s="32" t="s">
        <v>43</v>
      </c>
      <c r="D118" s="23" t="s">
        <v>333</v>
      </c>
      <c r="E118" s="20" t="s">
        <v>334</v>
      </c>
      <c r="F118" s="33" t="s">
        <v>873</v>
      </c>
    </row>
    <row r="119" spans="1:6">
      <c r="A119" s="81"/>
      <c r="B119" s="31" t="s">
        <v>83</v>
      </c>
      <c r="C119" s="32" t="s">
        <v>43</v>
      </c>
      <c r="D119" s="23" t="s">
        <v>1462</v>
      </c>
      <c r="E119" s="20" t="s">
        <v>1463</v>
      </c>
      <c r="F119" s="33" t="str">
        <f ca="1">IFERROR(__xludf.DUMMYFUNCTION("GOOGLETRANSLATE(E230, ""ja"",""en"")"),"making")</f>
        <v>making</v>
      </c>
    </row>
    <row r="120" spans="1:6">
      <c r="A120" s="81"/>
      <c r="B120" s="31" t="s">
        <v>83</v>
      </c>
      <c r="C120" s="32" t="s">
        <v>43</v>
      </c>
      <c r="D120" s="22" t="s">
        <v>869</v>
      </c>
      <c r="E120" s="16" t="s">
        <v>870</v>
      </c>
      <c r="F120" s="33" t="str">
        <f ca="1">IFERROR(__xludf.DUMMYFUNCTION("GOOGLETRANSLATE(E677, ""ja"",""en"")"),"to experience")</f>
        <v>to experience</v>
      </c>
    </row>
    <row r="121" spans="1:6">
      <c r="A121" s="81"/>
      <c r="B121" s="31" t="s">
        <v>83</v>
      </c>
      <c r="C121" s="32" t="s">
        <v>43</v>
      </c>
      <c r="D121" s="22" t="s">
        <v>335</v>
      </c>
      <c r="E121" s="16" t="s">
        <v>3579</v>
      </c>
      <c r="F121" s="33" t="s">
        <v>1408</v>
      </c>
    </row>
    <row r="122" spans="1:6">
      <c r="A122" s="81"/>
      <c r="B122" s="31" t="s">
        <v>83</v>
      </c>
      <c r="C122" s="32" t="s">
        <v>49</v>
      </c>
      <c r="D122" s="22" t="s">
        <v>871</v>
      </c>
      <c r="E122" s="16" t="s">
        <v>872</v>
      </c>
      <c r="F122" s="33" t="str">
        <f ca="1">IFERROR(__xludf.DUMMYFUNCTION("GOOGLETRANSLATE(E275, ""ja"",""en"")"),"to love")</f>
        <v>to love</v>
      </c>
    </row>
    <row r="123" spans="1:6">
      <c r="A123" s="81"/>
      <c r="B123" s="31" t="s">
        <v>83</v>
      </c>
      <c r="C123" s="32" t="s">
        <v>49</v>
      </c>
      <c r="D123" s="23" t="s">
        <v>336</v>
      </c>
      <c r="E123" s="20" t="s">
        <v>337</v>
      </c>
      <c r="F123" s="33" t="s">
        <v>1439</v>
      </c>
    </row>
    <row r="124" spans="1:6">
      <c r="A124" s="81"/>
      <c r="B124" s="31" t="s">
        <v>83</v>
      </c>
      <c r="C124" s="32" t="s">
        <v>257</v>
      </c>
      <c r="D124" s="23" t="s">
        <v>338</v>
      </c>
      <c r="E124" s="20" t="s">
        <v>339</v>
      </c>
      <c r="F124" s="33" t="s">
        <v>1409</v>
      </c>
    </row>
    <row r="125" spans="1:6">
      <c r="A125" s="81"/>
      <c r="B125" s="31" t="s">
        <v>83</v>
      </c>
      <c r="C125" s="32" t="s">
        <v>257</v>
      </c>
      <c r="D125" s="22" t="s">
        <v>874</v>
      </c>
      <c r="E125" s="16" t="s">
        <v>875</v>
      </c>
      <c r="F125" s="33" t="s">
        <v>876</v>
      </c>
    </row>
    <row r="126" spans="1:6">
      <c r="A126" s="81"/>
      <c r="B126" s="31" t="s">
        <v>83</v>
      </c>
      <c r="C126" s="32" t="s">
        <v>257</v>
      </c>
      <c r="D126" s="23" t="s">
        <v>10</v>
      </c>
      <c r="E126" s="16" t="str">
        <f t="shared" si="2"/>
        <v xml:space="preserve">れい </v>
      </c>
      <c r="F126" s="33" t="str">
        <f ca="1">IFERROR(__xludf.DUMMYFUNCTION("GOOGLETRANSLATE(E297, ""ja"",""en"")"),"example")</f>
        <v>example</v>
      </c>
    </row>
    <row r="127" spans="1:6">
      <c r="A127" s="81"/>
      <c r="B127" s="31" t="s">
        <v>83</v>
      </c>
      <c r="C127" s="32" t="s">
        <v>257</v>
      </c>
      <c r="D127" s="23" t="s">
        <v>3749</v>
      </c>
      <c r="E127" s="16" t="str">
        <f t="shared" si="2"/>
        <v xml:space="preserve">しずおか けん </v>
      </c>
      <c r="F127" s="33" t="s">
        <v>3750</v>
      </c>
    </row>
    <row r="128" spans="1:6">
      <c r="A128" s="81"/>
      <c r="B128" s="31" t="s">
        <v>83</v>
      </c>
      <c r="C128" s="32" t="s">
        <v>257</v>
      </c>
      <c r="D128" s="22" t="s">
        <v>340</v>
      </c>
      <c r="E128" s="16" t="s">
        <v>341</v>
      </c>
      <c r="F128" s="33" t="s">
        <v>877</v>
      </c>
    </row>
    <row r="129" spans="1:6">
      <c r="A129" s="81"/>
      <c r="B129" s="31" t="s">
        <v>83</v>
      </c>
      <c r="C129" s="32" t="s">
        <v>54</v>
      </c>
      <c r="D129" s="22" t="s">
        <v>342</v>
      </c>
      <c r="E129" s="16" t="s">
        <v>343</v>
      </c>
      <c r="F129" s="20" t="s">
        <v>878</v>
      </c>
    </row>
    <row r="130" spans="1:6">
      <c r="A130" s="81"/>
      <c r="B130" s="31" t="s">
        <v>83</v>
      </c>
      <c r="C130" s="32" t="s">
        <v>54</v>
      </c>
      <c r="D130" s="22" t="s">
        <v>344</v>
      </c>
      <c r="E130" s="16" t="str">
        <f t="shared" si="2"/>
        <v>もちもち</v>
      </c>
      <c r="F130" s="33" t="s">
        <v>1464</v>
      </c>
    </row>
    <row r="131" spans="1:6">
      <c r="A131" s="81"/>
      <c r="B131" s="31" t="s">
        <v>83</v>
      </c>
      <c r="C131" s="32" t="s">
        <v>54</v>
      </c>
      <c r="D131" s="22" t="s">
        <v>345</v>
      </c>
      <c r="E131" s="16" t="s">
        <v>346</v>
      </c>
      <c r="F131" s="33" t="s">
        <v>879</v>
      </c>
    </row>
    <row r="132" spans="1:6">
      <c r="A132" s="81"/>
      <c r="B132" s="31" t="s">
        <v>83</v>
      </c>
      <c r="C132" s="32" t="s">
        <v>54</v>
      </c>
      <c r="D132" s="22" t="s">
        <v>347</v>
      </c>
      <c r="E132" s="16" t="str">
        <f t="shared" si="2"/>
        <v xml:space="preserve">とくせい </v>
      </c>
      <c r="F132" s="33" t="s">
        <v>348</v>
      </c>
    </row>
    <row r="133" spans="1:6">
      <c r="A133" s="81"/>
      <c r="B133" s="31" t="s">
        <v>83</v>
      </c>
      <c r="C133" s="32" t="s">
        <v>54</v>
      </c>
      <c r="D133" s="22" t="s">
        <v>349</v>
      </c>
      <c r="E133" s="16" t="s">
        <v>3582</v>
      </c>
      <c r="F133" s="33" t="str">
        <f ca="1">IFERROR(__xludf.DUMMYFUNCTION("GOOGLETRANSLATE(E299, ""ja"",""en"")"),"sauce")</f>
        <v>sauce</v>
      </c>
    </row>
    <row r="134" spans="1:6">
      <c r="A134" s="81"/>
      <c r="B134" s="31" t="s">
        <v>83</v>
      </c>
      <c r="C134" s="32" t="s">
        <v>54</v>
      </c>
      <c r="D134" s="22" t="s">
        <v>350</v>
      </c>
      <c r="E134" s="16" t="s">
        <v>351</v>
      </c>
      <c r="F134" s="33" t="str">
        <f ca="1">IFERROR(__xludf.DUMMYFUNCTION("GOOGLETRANSLATE(E228, ""ja"",""en"")"),"local")</f>
        <v>local</v>
      </c>
    </row>
    <row r="135" spans="1:6">
      <c r="A135" s="81"/>
      <c r="B135" s="31" t="s">
        <v>83</v>
      </c>
      <c r="C135" s="32" t="s">
        <v>58</v>
      </c>
      <c r="D135" s="22" t="s">
        <v>177</v>
      </c>
      <c r="E135" s="16" t="s">
        <v>352</v>
      </c>
      <c r="F135" s="33" t="str">
        <f ca="1">IFERROR(__xludf.DUMMYFUNCTION("GOOGLETRANSLATE(E281, ""ja"",""en"")"),"people")</f>
        <v>people</v>
      </c>
    </row>
    <row r="136" spans="1:6">
      <c r="A136" s="81"/>
      <c r="B136" s="31" t="s">
        <v>83</v>
      </c>
      <c r="C136" s="32" t="s">
        <v>58</v>
      </c>
      <c r="D136" s="22" t="s">
        <v>353</v>
      </c>
      <c r="E136" s="16" t="s">
        <v>3583</v>
      </c>
      <c r="F136" s="33" t="str">
        <f ca="1">IFERROR(__xludf.DUMMYFUNCTION("GOOGLETRANSLATE(E282, ""ja"",""en"")"),"soul food")</f>
        <v>soul food</v>
      </c>
    </row>
    <row r="137" spans="1:6">
      <c r="A137" s="81"/>
      <c r="B137" s="31" t="s">
        <v>83</v>
      </c>
      <c r="C137" s="32" t="s">
        <v>60</v>
      </c>
      <c r="D137" s="22" t="s">
        <v>354</v>
      </c>
      <c r="E137" s="16" t="s">
        <v>3584</v>
      </c>
      <c r="F137" s="33" t="s">
        <v>1410</v>
      </c>
    </row>
    <row r="138" spans="1:6">
      <c r="A138" s="81"/>
      <c r="B138" s="31" t="s">
        <v>83</v>
      </c>
      <c r="C138" s="32" t="s">
        <v>60</v>
      </c>
      <c r="D138" s="23" t="s">
        <v>880</v>
      </c>
      <c r="E138" s="16" t="s">
        <v>881</v>
      </c>
      <c r="F138" s="33" t="s">
        <v>1465</v>
      </c>
    </row>
    <row r="139" spans="1:6">
      <c r="A139" s="81"/>
      <c r="B139" s="31" t="s">
        <v>83</v>
      </c>
      <c r="C139" s="32" t="s">
        <v>147</v>
      </c>
      <c r="D139" s="22" t="s">
        <v>355</v>
      </c>
      <c r="E139" s="16" t="str">
        <f t="shared" ref="E139:E173" si="3">PHONETIC(D139)</f>
        <v>いべんと</v>
      </c>
      <c r="F139" s="33" t="str">
        <f ca="1">IFERROR(__xludf.DUMMYFUNCTION("GOOGLETRANSLATE(E284, ""ja"",""en"")"),"event")</f>
        <v>event</v>
      </c>
    </row>
    <row r="140" spans="1:6">
      <c r="A140" s="81"/>
      <c r="B140" s="31" t="s">
        <v>83</v>
      </c>
      <c r="C140" s="32" t="s">
        <v>147</v>
      </c>
      <c r="D140" s="22" t="s">
        <v>882</v>
      </c>
      <c r="E140" s="16" t="s">
        <v>883</v>
      </c>
      <c r="F140" s="33" t="str">
        <f ca="1">IFERROR(__xludf.DUMMYFUNCTION("GOOGLETRANSLATE(E301, ""ja"",""en"")"),"to hold")</f>
        <v>to hold</v>
      </c>
    </row>
    <row r="141" spans="1:6">
      <c r="A141" s="81"/>
      <c r="B141" s="31" t="s">
        <v>83</v>
      </c>
      <c r="C141" s="32" t="s">
        <v>147</v>
      </c>
      <c r="D141" s="23" t="s">
        <v>356</v>
      </c>
      <c r="E141" s="16" t="s">
        <v>885</v>
      </c>
      <c r="F141" s="20" t="s">
        <v>886</v>
      </c>
    </row>
    <row r="142" spans="1:6">
      <c r="A142" s="81"/>
      <c r="B142" s="31" t="s">
        <v>83</v>
      </c>
      <c r="C142" s="32" t="s">
        <v>147</v>
      </c>
      <c r="D142" s="22" t="s">
        <v>357</v>
      </c>
      <c r="E142" s="16" t="str">
        <f t="shared" si="3"/>
        <v xml:space="preserve">きょうどう </v>
      </c>
      <c r="F142" s="33" t="str">
        <f ca="1">IFERROR(__xludf.DUMMYFUNCTION("GOOGLETRANSLATE(E332, ""ja"",""en"")"),"joint")</f>
        <v>joint</v>
      </c>
    </row>
    <row r="143" spans="1:6">
      <c r="A143" s="81"/>
      <c r="B143" s="31" t="s">
        <v>83</v>
      </c>
      <c r="C143" s="32" t="s">
        <v>63</v>
      </c>
      <c r="D143" s="23" t="s">
        <v>358</v>
      </c>
      <c r="E143" s="20" t="s">
        <v>359</v>
      </c>
      <c r="F143" s="20" t="s">
        <v>887</v>
      </c>
    </row>
    <row r="144" spans="1:6">
      <c r="A144" s="81"/>
      <c r="B144" s="31" t="s">
        <v>83</v>
      </c>
      <c r="C144" s="32" t="s">
        <v>63</v>
      </c>
      <c r="D144" s="22" t="s">
        <v>888</v>
      </c>
      <c r="E144" s="16" t="s">
        <v>889</v>
      </c>
      <c r="F144" s="20" t="s">
        <v>890</v>
      </c>
    </row>
    <row r="145" spans="1:6">
      <c r="A145" s="81"/>
      <c r="B145" s="31" t="s">
        <v>83</v>
      </c>
      <c r="C145" s="32" t="s">
        <v>63</v>
      </c>
      <c r="D145" s="22" t="s">
        <v>360</v>
      </c>
      <c r="E145" s="16" t="str">
        <f t="shared" si="3"/>
        <v>ぐらんぷり</v>
      </c>
      <c r="F145" s="43" t="s">
        <v>1440</v>
      </c>
    </row>
    <row r="146" spans="1:6">
      <c r="A146" s="81"/>
      <c r="B146" s="31" t="s">
        <v>83</v>
      </c>
      <c r="C146" s="32" t="s">
        <v>66</v>
      </c>
      <c r="D146" s="23" t="s">
        <v>361</v>
      </c>
      <c r="E146" s="16" t="str">
        <f t="shared" si="3"/>
        <v>Bきゅう ぐるめ</v>
      </c>
      <c r="F146" s="20" t="s">
        <v>1466</v>
      </c>
    </row>
    <row r="147" spans="1:6">
      <c r="A147" s="81"/>
      <c r="B147" s="31" t="s">
        <v>83</v>
      </c>
      <c r="C147" s="32" t="s">
        <v>66</v>
      </c>
      <c r="D147" s="22" t="s">
        <v>362</v>
      </c>
      <c r="E147" s="16" t="str">
        <f t="shared" si="3"/>
        <v xml:space="preserve">さいてん </v>
      </c>
      <c r="F147" s="20" t="s">
        <v>891</v>
      </c>
    </row>
    <row r="148" spans="1:6">
      <c r="A148" s="81"/>
      <c r="B148" s="31" t="s">
        <v>83</v>
      </c>
      <c r="C148" s="32" t="s">
        <v>66</v>
      </c>
      <c r="D148" s="22" t="s">
        <v>884</v>
      </c>
      <c r="E148" s="16" t="s">
        <v>363</v>
      </c>
      <c r="F148" s="20" t="s">
        <v>892</v>
      </c>
    </row>
    <row r="149" spans="1:6">
      <c r="A149" s="81"/>
      <c r="B149" s="31" t="s">
        <v>83</v>
      </c>
      <c r="C149" s="36" t="s">
        <v>66</v>
      </c>
      <c r="D149" s="22" t="s">
        <v>364</v>
      </c>
      <c r="E149" s="16" t="s">
        <v>365</v>
      </c>
      <c r="F149" s="33" t="str">
        <f ca="1">IFERROR(__xludf.DUMMYFUNCTION("GOOGLETRANSLATE(E336, ""ja"",""en"")"),"day trip")</f>
        <v>day trip</v>
      </c>
    </row>
    <row r="150" spans="1:6">
      <c r="A150" s="81"/>
      <c r="B150" s="31" t="s">
        <v>83</v>
      </c>
      <c r="C150" s="36" t="s">
        <v>66</v>
      </c>
      <c r="D150" s="23" t="s">
        <v>366</v>
      </c>
      <c r="E150" s="20" t="s">
        <v>367</v>
      </c>
      <c r="F150" s="33" t="s">
        <v>893</v>
      </c>
    </row>
    <row r="151" spans="1:6">
      <c r="A151" s="81"/>
      <c r="B151" s="31" t="s">
        <v>83</v>
      </c>
      <c r="C151" s="32" t="s">
        <v>68</v>
      </c>
      <c r="D151" s="23" t="s">
        <v>368</v>
      </c>
      <c r="E151" s="20" t="s">
        <v>369</v>
      </c>
      <c r="F151" s="33" t="str">
        <f ca="1">IFERROR(__xludf.DUMMYFUNCTION("GOOGLETRANSLATE(E338, ""ja"",""en"")"),"effect")</f>
        <v>effect</v>
      </c>
    </row>
    <row r="152" spans="1:6">
      <c r="A152" s="81"/>
      <c r="B152" s="31" t="s">
        <v>83</v>
      </c>
      <c r="C152" s="36" t="s">
        <v>73</v>
      </c>
      <c r="D152" s="23" t="s">
        <v>894</v>
      </c>
      <c r="E152" s="20" t="s">
        <v>895</v>
      </c>
      <c r="F152" s="33" t="s">
        <v>896</v>
      </c>
    </row>
    <row r="153" spans="1:6" ht="38">
      <c r="A153" s="81"/>
      <c r="B153" s="31" t="s">
        <v>83</v>
      </c>
      <c r="C153" s="32" t="s">
        <v>73</v>
      </c>
      <c r="D153" s="16" t="s">
        <v>370</v>
      </c>
      <c r="E153" s="16" t="str">
        <f t="shared" si="3"/>
        <v xml:space="preserve">ちさんちしょう </v>
      </c>
      <c r="F153" s="25" t="str">
        <f ca="1">IFERROR(__xludf.DUMMYFUNCTION("GOOGLETRANSLATE(E287, ""ja"",""en"")"),"local production for local consumption")</f>
        <v>local production for local consumption</v>
      </c>
    </row>
    <row r="154" spans="1:6">
      <c r="A154" s="81"/>
      <c r="B154" s="31" t="s">
        <v>83</v>
      </c>
      <c r="C154" s="32" t="s">
        <v>73</v>
      </c>
      <c r="D154" s="23" t="s">
        <v>371</v>
      </c>
      <c r="E154" s="20" t="s">
        <v>372</v>
      </c>
      <c r="F154" s="33" t="s">
        <v>897</v>
      </c>
    </row>
    <row r="155" spans="1:6">
      <c r="A155" s="81"/>
      <c r="B155" s="31" t="s">
        <v>83</v>
      </c>
      <c r="C155" s="32" t="s">
        <v>186</v>
      </c>
      <c r="D155" s="22" t="s">
        <v>373</v>
      </c>
      <c r="E155" s="16" t="str">
        <f t="shared" si="3"/>
        <v>こすと</v>
      </c>
      <c r="F155" s="33" t="str">
        <f ca="1">IFERROR(__xludf.DUMMYFUNCTION("GOOGLETRANSLATE(E288, ""ja"",""en"")"),"cost")</f>
        <v>cost</v>
      </c>
    </row>
    <row r="156" spans="1:6">
      <c r="A156" s="81"/>
      <c r="B156" s="31" t="s">
        <v>83</v>
      </c>
      <c r="C156" s="32" t="s">
        <v>186</v>
      </c>
      <c r="D156" s="23" t="s">
        <v>374</v>
      </c>
      <c r="E156" s="20" t="s">
        <v>375</v>
      </c>
      <c r="F156" s="33" t="s">
        <v>898</v>
      </c>
    </row>
    <row r="157" spans="1:6">
      <c r="A157" s="81"/>
      <c r="B157" s="31" t="s">
        <v>83</v>
      </c>
      <c r="C157" s="32" t="s">
        <v>186</v>
      </c>
      <c r="D157" s="22" t="s">
        <v>376</v>
      </c>
      <c r="E157" s="16" t="str">
        <f t="shared" si="3"/>
        <v xml:space="preserve">じゅうみん </v>
      </c>
      <c r="F157" s="33" t="str">
        <f ca="1">IFERROR(__xludf.DUMMYFUNCTION("GOOGLETRANSLATE(E343, ""ja"",""en"")"),"residents")</f>
        <v>residents</v>
      </c>
    </row>
    <row r="158" spans="1:6">
      <c r="A158" s="81"/>
      <c r="B158" s="31" t="s">
        <v>83</v>
      </c>
      <c r="C158" s="36" t="s">
        <v>186</v>
      </c>
      <c r="D158" s="23" t="s">
        <v>126</v>
      </c>
      <c r="E158" s="20" t="s">
        <v>377</v>
      </c>
      <c r="F158" s="33" t="s">
        <v>794</v>
      </c>
    </row>
    <row r="159" spans="1:6">
      <c r="A159" s="81"/>
      <c r="B159" s="31" t="s">
        <v>83</v>
      </c>
      <c r="C159" s="32" t="s">
        <v>76</v>
      </c>
      <c r="D159" s="22" t="s">
        <v>899</v>
      </c>
      <c r="E159" s="16" t="s">
        <v>900</v>
      </c>
      <c r="F159" s="33" t="s">
        <v>901</v>
      </c>
    </row>
    <row r="160" spans="1:6">
      <c r="A160" s="81"/>
      <c r="B160" s="31" t="s">
        <v>83</v>
      </c>
      <c r="C160" s="36" t="s">
        <v>76</v>
      </c>
      <c r="D160" s="23" t="s">
        <v>378</v>
      </c>
      <c r="E160" s="20" t="s">
        <v>379</v>
      </c>
      <c r="F160" s="33" t="s">
        <v>902</v>
      </c>
    </row>
    <row r="161" spans="1:6">
      <c r="A161" s="81"/>
      <c r="B161" s="31" t="s">
        <v>83</v>
      </c>
      <c r="C161" s="36" t="s">
        <v>76</v>
      </c>
      <c r="D161" s="23" t="s">
        <v>772</v>
      </c>
      <c r="E161" s="20" t="s">
        <v>773</v>
      </c>
      <c r="F161" s="33" t="s">
        <v>903</v>
      </c>
    </row>
    <row r="162" spans="1:6">
      <c r="A162" s="81"/>
      <c r="B162" s="31" t="s">
        <v>83</v>
      </c>
      <c r="C162" s="32" t="s">
        <v>76</v>
      </c>
      <c r="D162" s="22" t="s">
        <v>904</v>
      </c>
      <c r="E162" s="16" t="s">
        <v>905</v>
      </c>
      <c r="F162" s="33" t="s">
        <v>1441</v>
      </c>
    </row>
    <row r="163" spans="1:6">
      <c r="A163" s="81"/>
      <c r="B163" s="31" t="s">
        <v>83</v>
      </c>
      <c r="C163" s="36" t="s">
        <v>76</v>
      </c>
      <c r="D163" s="22" t="s">
        <v>380</v>
      </c>
      <c r="E163" s="16" t="str">
        <f t="shared" si="3"/>
        <v xml:space="preserve">せいさんしゃ </v>
      </c>
      <c r="F163" s="20" t="s">
        <v>906</v>
      </c>
    </row>
    <row r="164" spans="1:6">
      <c r="A164" s="81"/>
      <c r="B164" s="31" t="s">
        <v>83</v>
      </c>
      <c r="C164" s="32" t="s">
        <v>194</v>
      </c>
      <c r="D164" s="22" t="s">
        <v>907</v>
      </c>
      <c r="E164" s="16" t="s">
        <v>908</v>
      </c>
      <c r="F164" s="33" t="s">
        <v>1442</v>
      </c>
    </row>
    <row r="165" spans="1:6">
      <c r="A165" s="81"/>
      <c r="B165" s="31" t="s">
        <v>83</v>
      </c>
      <c r="C165" s="32" t="s">
        <v>296</v>
      </c>
      <c r="D165" s="22" t="s">
        <v>381</v>
      </c>
      <c r="E165" s="16" t="str">
        <f t="shared" si="3"/>
        <v xml:space="preserve">のうぎょう </v>
      </c>
      <c r="F165" s="33" t="str">
        <f ca="1">IFERROR(__xludf.DUMMYFUNCTION("GOOGLETRANSLATE(E347, ""ja"",""en"")"),"agriculture")</f>
        <v>agriculture</v>
      </c>
    </row>
    <row r="166" spans="1:6">
      <c r="A166" s="81"/>
      <c r="B166" s="31" t="s">
        <v>83</v>
      </c>
      <c r="C166" s="32" t="s">
        <v>296</v>
      </c>
      <c r="D166" s="22" t="s">
        <v>382</v>
      </c>
      <c r="E166" s="16" t="str">
        <f t="shared" si="3"/>
        <v xml:space="preserve">ぎょぎょう </v>
      </c>
      <c r="F166" s="33" t="str">
        <f ca="1">IFERROR(__xludf.DUMMYFUNCTION("GOOGLETRANSLATE(E348, ""ja"",""en"")"),"fishery")</f>
        <v>fishery</v>
      </c>
    </row>
    <row r="167" spans="1:6">
      <c r="A167" s="81"/>
      <c r="B167" s="31" t="s">
        <v>83</v>
      </c>
      <c r="C167" s="32" t="s">
        <v>296</v>
      </c>
      <c r="D167" s="22" t="s">
        <v>383</v>
      </c>
      <c r="E167" s="16" t="str">
        <f t="shared" si="3"/>
        <v xml:space="preserve">ちくさんぎょう </v>
      </c>
      <c r="F167" s="33" t="s">
        <v>1411</v>
      </c>
    </row>
    <row r="168" spans="1:6">
      <c r="A168" s="81"/>
      <c r="B168" s="31" t="s">
        <v>83</v>
      </c>
      <c r="C168" s="32" t="s">
        <v>296</v>
      </c>
      <c r="D168" s="23" t="s">
        <v>384</v>
      </c>
      <c r="E168" s="20" t="s">
        <v>385</v>
      </c>
      <c r="F168" s="33" t="s">
        <v>910</v>
      </c>
    </row>
    <row r="169" spans="1:6">
      <c r="A169" s="81"/>
      <c r="B169" s="31" t="s">
        <v>83</v>
      </c>
      <c r="C169" s="32" t="s">
        <v>296</v>
      </c>
      <c r="D169" s="23" t="s">
        <v>909</v>
      </c>
      <c r="E169" s="16" t="s">
        <v>911</v>
      </c>
      <c r="F169" s="33" t="str">
        <f ca="1">IFERROR(__xludf.DUMMYFUNCTION("GOOGLETRANSLATE(E350, ""ja"",""en"")"),"development")</f>
        <v>development</v>
      </c>
    </row>
    <row r="170" spans="1:6">
      <c r="A170" s="81"/>
      <c r="B170" s="31" t="s">
        <v>83</v>
      </c>
      <c r="C170" s="32" t="s">
        <v>296</v>
      </c>
      <c r="D170" s="22" t="s">
        <v>912</v>
      </c>
      <c r="E170" s="16" t="s">
        <v>913</v>
      </c>
      <c r="F170" s="33" t="s">
        <v>914</v>
      </c>
    </row>
    <row r="171" spans="1:6">
      <c r="A171" s="81"/>
      <c r="B171" s="31" t="s">
        <v>83</v>
      </c>
      <c r="C171" s="32" t="s">
        <v>197</v>
      </c>
      <c r="D171" s="23" t="s">
        <v>915</v>
      </c>
      <c r="E171" s="20" t="s">
        <v>916</v>
      </c>
      <c r="F171" s="20" t="s">
        <v>856</v>
      </c>
    </row>
    <row r="172" spans="1:6">
      <c r="A172" s="81"/>
      <c r="B172" s="31" t="s">
        <v>83</v>
      </c>
      <c r="C172" s="32" t="s">
        <v>197</v>
      </c>
      <c r="D172" s="23" t="s">
        <v>386</v>
      </c>
      <c r="E172" s="20" t="s">
        <v>387</v>
      </c>
      <c r="F172" s="20" t="s">
        <v>917</v>
      </c>
    </row>
    <row r="173" spans="1:6">
      <c r="A173" s="81"/>
      <c r="B173" s="31" t="s">
        <v>83</v>
      </c>
      <c r="C173" s="32" t="s">
        <v>204</v>
      </c>
      <c r="D173" s="22" t="s">
        <v>388</v>
      </c>
      <c r="E173" s="16" t="str">
        <f t="shared" si="3"/>
        <v xml:space="preserve">とち </v>
      </c>
      <c r="F173" s="33" t="str">
        <f ca="1">IFERROR(__xludf.DUMMYFUNCTION("GOOGLETRANSLATE(E353, ""ja"",""en"")"),"land")</f>
        <v>land</v>
      </c>
    </row>
    <row r="174" spans="1:6">
      <c r="A174" s="81"/>
      <c r="B174" s="31" t="s">
        <v>83</v>
      </c>
      <c r="C174" s="32" t="s">
        <v>204</v>
      </c>
      <c r="D174" s="23" t="s">
        <v>389</v>
      </c>
      <c r="E174" s="20" t="s">
        <v>390</v>
      </c>
      <c r="F174" s="33" t="s">
        <v>918</v>
      </c>
    </row>
    <row r="175" spans="1:6">
      <c r="A175" s="81"/>
      <c r="B175" s="31" t="s">
        <v>83</v>
      </c>
      <c r="C175" s="32" t="s">
        <v>207</v>
      </c>
      <c r="D175" s="22" t="s">
        <v>920</v>
      </c>
      <c r="E175" s="16" t="s">
        <v>919</v>
      </c>
      <c r="F175" s="33" t="s">
        <v>921</v>
      </c>
    </row>
    <row r="176" spans="1:6">
      <c r="A176" s="81"/>
      <c r="B176" s="31" t="s">
        <v>83</v>
      </c>
      <c r="C176" s="36" t="s">
        <v>694</v>
      </c>
      <c r="D176" s="23" t="s">
        <v>391</v>
      </c>
      <c r="E176" s="20" t="s">
        <v>392</v>
      </c>
      <c r="F176" s="33" t="s">
        <v>1467</v>
      </c>
    </row>
    <row r="177" spans="1:6">
      <c r="A177" s="82"/>
      <c r="B177" s="31" t="s">
        <v>83</v>
      </c>
      <c r="C177" s="36" t="s">
        <v>694</v>
      </c>
      <c r="D177" s="23" t="s">
        <v>393</v>
      </c>
      <c r="E177" s="20" t="s">
        <v>394</v>
      </c>
      <c r="F177" s="33" t="s">
        <v>922</v>
      </c>
    </row>
  </sheetData>
  <autoFilter ref="A1:F177" xr:uid="{382C4420-653A-A643-8014-BA9152B1D252}"/>
  <mergeCells count="1">
    <mergeCell ref="A2:A177"/>
  </mergeCells>
  <phoneticPr fontId="2"/>
  <pageMargins left="0.25" right="0.25" top="0.75" bottom="0.75" header="0.3" footer="0.3"/>
  <pageSetup paperSize="9" scale="8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5867-88DC-4833-882E-F6FC795F49AD}">
  <dimension ref="A1:G171"/>
  <sheetViews>
    <sheetView zoomScale="110" zoomScaleNormal="110" workbookViewId="0">
      <pane ySplit="1" topLeftCell="A2" activePane="bottomLeft" state="frozen"/>
      <selection pane="bottomLeft" activeCell="D149" sqref="D149"/>
    </sheetView>
  </sheetViews>
  <sheetFormatPr baseColWidth="10" defaultColWidth="11.28515625" defaultRowHeight="20"/>
  <cols>
    <col min="1" max="1" width="7" style="2" customWidth="1"/>
    <col min="2" max="2" width="8.42578125" style="2" customWidth="1"/>
    <col min="3" max="3" width="8" style="2" customWidth="1"/>
    <col min="4" max="4" width="18.28515625" style="2" customWidth="1"/>
    <col min="5" max="5" width="20" style="2" customWidth="1"/>
    <col min="6" max="6" width="19.42578125" style="2" customWidth="1"/>
    <col min="7" max="16384" width="11.28515625" style="2"/>
  </cols>
  <sheetData>
    <row r="1" spans="1:7" s="10" customFormat="1" ht="16">
      <c r="A1" s="11" t="s">
        <v>0</v>
      </c>
      <c r="B1" s="11" t="s">
        <v>1</v>
      </c>
      <c r="C1" s="12" t="s">
        <v>3747</v>
      </c>
      <c r="D1" s="11" t="s">
        <v>3740</v>
      </c>
      <c r="E1" s="11" t="s">
        <v>3741</v>
      </c>
      <c r="F1" s="11" t="s">
        <v>3742</v>
      </c>
    </row>
    <row r="2" spans="1:7">
      <c r="A2" s="80" t="s">
        <v>395</v>
      </c>
      <c r="B2" s="31" t="s">
        <v>5</v>
      </c>
      <c r="C2" s="32" t="s">
        <v>209</v>
      </c>
      <c r="D2" s="44" t="s">
        <v>923</v>
      </c>
      <c r="E2" s="44" t="s">
        <v>924</v>
      </c>
      <c r="F2" s="49" t="s">
        <v>925</v>
      </c>
      <c r="G2" s="3"/>
    </row>
    <row r="3" spans="1:7">
      <c r="A3" s="81"/>
      <c r="B3" s="31" t="s">
        <v>5</v>
      </c>
      <c r="C3" s="32" t="s">
        <v>209</v>
      </c>
      <c r="D3" s="22" t="s">
        <v>396</v>
      </c>
      <c r="E3" s="16" t="s">
        <v>3446</v>
      </c>
      <c r="F3" s="20" t="s">
        <v>1468</v>
      </c>
      <c r="G3" s="3"/>
    </row>
    <row r="4" spans="1:7">
      <c r="A4" s="81"/>
      <c r="B4" s="31" t="s">
        <v>8</v>
      </c>
      <c r="C4" s="32" t="s">
        <v>6</v>
      </c>
      <c r="D4" s="22" t="s">
        <v>397</v>
      </c>
      <c r="E4" s="16" t="s">
        <v>1514</v>
      </c>
      <c r="F4" s="33" t="s">
        <v>3609</v>
      </c>
      <c r="G4" s="3"/>
    </row>
    <row r="5" spans="1:7">
      <c r="A5" s="81"/>
      <c r="B5" s="31" t="s">
        <v>8</v>
      </c>
      <c r="C5" s="32" t="s">
        <v>12</v>
      </c>
      <c r="D5" s="22" t="s">
        <v>398</v>
      </c>
      <c r="E5" s="16" t="s">
        <v>3518</v>
      </c>
      <c r="F5" s="33" t="s">
        <v>3610</v>
      </c>
      <c r="G5" s="3"/>
    </row>
    <row r="6" spans="1:7">
      <c r="A6" s="81"/>
      <c r="B6" s="31" t="s">
        <v>8</v>
      </c>
      <c r="C6" s="32" t="s">
        <v>18</v>
      </c>
      <c r="D6" s="22" t="s">
        <v>399</v>
      </c>
      <c r="E6" s="16" t="s">
        <v>1516</v>
      </c>
      <c r="F6" s="33" t="str">
        <f ca="1">IFERROR(__xludf.DUMMYFUNCTION("GOOGLETRANSLATE(E356, ""ja"",""en"")"),"Tokyo")</f>
        <v>Tokyo</v>
      </c>
      <c r="G6" s="3"/>
    </row>
    <row r="7" spans="1:7">
      <c r="A7" s="81"/>
      <c r="B7" s="31" t="s">
        <v>8</v>
      </c>
      <c r="C7" s="32" t="s">
        <v>18</v>
      </c>
      <c r="D7" s="22" t="s">
        <v>400</v>
      </c>
      <c r="E7" s="16" t="s">
        <v>3519</v>
      </c>
      <c r="F7" s="20" t="s">
        <v>926</v>
      </c>
      <c r="G7" s="3"/>
    </row>
    <row r="8" spans="1:7">
      <c r="A8" s="81"/>
      <c r="B8" s="31" t="s">
        <v>8</v>
      </c>
      <c r="C8" s="32" t="s">
        <v>18</v>
      </c>
      <c r="D8" s="22" t="s">
        <v>401</v>
      </c>
      <c r="E8" s="16" t="s">
        <v>1509</v>
      </c>
      <c r="F8" s="33" t="str">
        <f ca="1">IFERROR(__xludf.DUMMYFUNCTION("GOOGLETRANSLATE(E402, ""ja"",""en"")"),"originally")</f>
        <v>originally</v>
      </c>
      <c r="G8" s="3"/>
    </row>
    <row r="9" spans="1:7">
      <c r="A9" s="81"/>
      <c r="B9" s="31" t="s">
        <v>8</v>
      </c>
      <c r="C9" s="32" t="s">
        <v>18</v>
      </c>
      <c r="D9" s="23" t="s">
        <v>1469</v>
      </c>
      <c r="E9" s="16" t="s">
        <v>1470</v>
      </c>
      <c r="F9" s="33" t="str">
        <f ca="1">IFERROR(__xludf.DUMMYFUNCTION("GOOGLETRANSLATE(E358, ""ja"",""en"")"),"wetland")</f>
        <v>wetland</v>
      </c>
      <c r="G9" s="4"/>
    </row>
    <row r="10" spans="1:7">
      <c r="A10" s="81"/>
      <c r="B10" s="31" t="s">
        <v>8</v>
      </c>
      <c r="C10" s="32" t="s">
        <v>21</v>
      </c>
      <c r="D10" s="23" t="s">
        <v>402</v>
      </c>
      <c r="E10" s="24" t="s">
        <v>352</v>
      </c>
      <c r="F10" s="33" t="s">
        <v>927</v>
      </c>
      <c r="G10" s="4"/>
    </row>
    <row r="11" spans="1:7">
      <c r="A11" s="81"/>
      <c r="B11" s="31" t="s">
        <v>8</v>
      </c>
      <c r="C11" s="32" t="s">
        <v>21</v>
      </c>
      <c r="D11" s="22" t="s">
        <v>403</v>
      </c>
      <c r="E11" s="16" t="s">
        <v>3037</v>
      </c>
      <c r="F11" s="33" t="str">
        <f ca="1">IFERROR(__xludf.DUMMYFUNCTION("GOOGLETRANSLATE(E404, ""ja"",""en"")"),"environment")</f>
        <v>environment</v>
      </c>
      <c r="G11" s="3"/>
    </row>
    <row r="12" spans="1:7">
      <c r="A12" s="81"/>
      <c r="B12" s="31" t="s">
        <v>8</v>
      </c>
      <c r="C12" s="32" t="s">
        <v>21</v>
      </c>
      <c r="D12" s="22" t="s">
        <v>928</v>
      </c>
      <c r="E12" s="16" t="s">
        <v>929</v>
      </c>
      <c r="F12" s="33" t="str">
        <f ca="1">IFERROR(__xludf.DUMMYFUNCTION("GOOGLETRANSLATE(E405, ""ja"",""en"")"),"to be prepared")</f>
        <v>to be prepared</v>
      </c>
      <c r="G12" s="3"/>
    </row>
    <row r="13" spans="1:7">
      <c r="A13" s="81"/>
      <c r="B13" s="31" t="s">
        <v>8</v>
      </c>
      <c r="C13" s="32" t="s">
        <v>23</v>
      </c>
      <c r="D13" s="23" t="s">
        <v>404</v>
      </c>
      <c r="E13" s="20" t="s">
        <v>405</v>
      </c>
      <c r="F13" s="33" t="s">
        <v>930</v>
      </c>
      <c r="G13" s="3"/>
    </row>
    <row r="14" spans="1:7">
      <c r="A14" s="81"/>
      <c r="B14" s="31" t="s">
        <v>8</v>
      </c>
      <c r="C14" s="32" t="s">
        <v>23</v>
      </c>
      <c r="D14" s="22" t="s">
        <v>406</v>
      </c>
      <c r="E14" s="16" t="s">
        <v>407</v>
      </c>
      <c r="F14" s="33" t="str">
        <f ca="1">IFERROR(__xludf.DUMMYFUNCTION("GOOGLETRANSLATE(E360, ""ja"",""en"")"),"Tokugawa Ieyasu")</f>
        <v>Tokugawa Ieyasu</v>
      </c>
      <c r="G14" s="3"/>
    </row>
    <row r="15" spans="1:7">
      <c r="A15" s="81"/>
      <c r="B15" s="31" t="s">
        <v>8</v>
      </c>
      <c r="C15" s="32" t="s">
        <v>23</v>
      </c>
      <c r="D15" s="22" t="s">
        <v>408</v>
      </c>
      <c r="E15" s="16" t="s">
        <v>3520</v>
      </c>
      <c r="F15" s="33" t="str">
        <f ca="1">IFERROR(__xludf.DUMMYFUNCTION("GOOGLETRANSLATE(E361, ""ja"",""en"")"),"shogunate")</f>
        <v>shogunate</v>
      </c>
      <c r="G15" s="3"/>
    </row>
    <row r="16" spans="1:7">
      <c r="A16" s="81"/>
      <c r="B16" s="31" t="s">
        <v>8</v>
      </c>
      <c r="C16" s="32" t="s">
        <v>27</v>
      </c>
      <c r="D16" s="22" t="s">
        <v>409</v>
      </c>
      <c r="E16" s="16" t="s">
        <v>1127</v>
      </c>
      <c r="F16" s="33" t="str">
        <f ca="1">IFERROR(__xludf.DUMMYFUNCTION("GOOGLETRANSLATE(E407, ""ja"",""en"")"),"government")</f>
        <v>government</v>
      </c>
      <c r="G16" s="3"/>
    </row>
    <row r="17" spans="1:7">
      <c r="A17" s="81"/>
      <c r="B17" s="31" t="s">
        <v>8</v>
      </c>
      <c r="C17" s="36" t="s">
        <v>30</v>
      </c>
      <c r="D17" s="23" t="s">
        <v>410</v>
      </c>
      <c r="E17" s="20" t="s">
        <v>411</v>
      </c>
      <c r="F17" s="33" t="s">
        <v>931</v>
      </c>
      <c r="G17" s="3"/>
    </row>
    <row r="18" spans="1:7">
      <c r="A18" s="81"/>
      <c r="B18" s="31" t="s">
        <v>8</v>
      </c>
      <c r="C18" s="36" t="s">
        <v>30</v>
      </c>
      <c r="D18" s="23" t="s">
        <v>932</v>
      </c>
      <c r="E18" s="20" t="s">
        <v>933</v>
      </c>
      <c r="F18" s="33" t="s">
        <v>934</v>
      </c>
      <c r="G18" s="3"/>
    </row>
    <row r="19" spans="1:7">
      <c r="A19" s="81"/>
      <c r="B19" s="31" t="s">
        <v>8</v>
      </c>
      <c r="C19" s="32" t="s">
        <v>238</v>
      </c>
      <c r="D19" s="22" t="s">
        <v>935</v>
      </c>
      <c r="E19" s="16" t="s">
        <v>936</v>
      </c>
      <c r="F19" s="33" t="str">
        <f ca="1">IFERROR(__xludf.DUMMYFUNCTION("GOOGLETRANSLATE(E411, ""ja"",""en"")"),"to exceed")</f>
        <v>to exceed</v>
      </c>
      <c r="G19" s="3"/>
    </row>
    <row r="20" spans="1:7">
      <c r="A20" s="81"/>
      <c r="B20" s="31" t="s">
        <v>8</v>
      </c>
      <c r="C20" s="32" t="s">
        <v>34</v>
      </c>
      <c r="D20" s="23" t="s">
        <v>412</v>
      </c>
      <c r="E20" s="16" t="s">
        <v>3521</v>
      </c>
      <c r="F20" s="33" t="s">
        <v>1471</v>
      </c>
      <c r="G20" s="3"/>
    </row>
    <row r="21" spans="1:7" ht="24" customHeight="1">
      <c r="A21" s="81"/>
      <c r="B21" s="31" t="s">
        <v>8</v>
      </c>
      <c r="C21" s="32" t="s">
        <v>34</v>
      </c>
      <c r="D21" s="16" t="s">
        <v>937</v>
      </c>
      <c r="E21" s="16" t="s">
        <v>938</v>
      </c>
      <c r="F21" s="25" t="s">
        <v>939</v>
      </c>
      <c r="G21" s="4"/>
    </row>
    <row r="22" spans="1:7" ht="21">
      <c r="A22" s="81"/>
      <c r="B22" s="31" t="s">
        <v>8</v>
      </c>
      <c r="C22" s="32" t="s">
        <v>36</v>
      </c>
      <c r="D22" s="22" t="s">
        <v>413</v>
      </c>
      <c r="E22" s="16" t="str">
        <f t="shared" ref="E22:E64" si="0">PHONETIC(D22)</f>
        <v xml:space="preserve">にかい </v>
      </c>
      <c r="F22" s="45" t="s">
        <v>1472</v>
      </c>
      <c r="G22" s="4"/>
    </row>
    <row r="23" spans="1:7">
      <c r="A23" s="81"/>
      <c r="B23" s="31" t="s">
        <v>8</v>
      </c>
      <c r="C23" s="32" t="s">
        <v>36</v>
      </c>
      <c r="D23" s="23" t="s">
        <v>940</v>
      </c>
      <c r="E23" s="20" t="s">
        <v>941</v>
      </c>
      <c r="F23" s="33" t="s">
        <v>942</v>
      </c>
      <c r="G23" s="3"/>
    </row>
    <row r="24" spans="1:7">
      <c r="A24" s="81"/>
      <c r="B24" s="31" t="s">
        <v>8</v>
      </c>
      <c r="C24" s="32" t="s">
        <v>36</v>
      </c>
      <c r="D24" s="22" t="s">
        <v>414</v>
      </c>
      <c r="E24" s="16" t="s">
        <v>3522</v>
      </c>
      <c r="F24" s="33" t="str">
        <f ca="1">IFERROR(__xludf.DUMMYFUNCTION("GOOGLETRANSLATE(E413, ""ja"",""en"")"),"interest")</f>
        <v>interest</v>
      </c>
      <c r="G24" s="3"/>
    </row>
    <row r="25" spans="1:7">
      <c r="A25" s="81"/>
      <c r="B25" s="31" t="s">
        <v>8</v>
      </c>
      <c r="C25" s="32" t="s">
        <v>39</v>
      </c>
      <c r="D25" s="22" t="s">
        <v>943</v>
      </c>
      <c r="E25" s="16" t="s">
        <v>944</v>
      </c>
      <c r="F25" s="33" t="str">
        <f ca="1">IFERROR(__xludf.DUMMYFUNCTION("GOOGLETRANSLATE(E394, ""ja"",""en"")"),"to increase")</f>
        <v>to increase</v>
      </c>
      <c r="G25" s="3"/>
    </row>
    <row r="26" spans="1:7">
      <c r="A26" s="81"/>
      <c r="B26" s="31" t="s">
        <v>8</v>
      </c>
      <c r="C26" s="32" t="s">
        <v>39</v>
      </c>
      <c r="D26" s="23" t="s">
        <v>415</v>
      </c>
      <c r="E26" s="20" t="s">
        <v>303</v>
      </c>
      <c r="F26" s="33" t="s">
        <v>835</v>
      </c>
      <c r="G26" s="3"/>
    </row>
    <row r="27" spans="1:7">
      <c r="A27" s="81"/>
      <c r="B27" s="31" t="s">
        <v>8</v>
      </c>
      <c r="C27" s="32" t="s">
        <v>39</v>
      </c>
      <c r="D27" s="22" t="s">
        <v>416</v>
      </c>
      <c r="E27" s="16" t="s">
        <v>3523</v>
      </c>
      <c r="F27" s="33" t="str">
        <f ca="1">IFERROR(__xludf.DUMMYFUNCTION("GOOGLETRANSLATE(E365, ""ja"",""en"")"),"alone")</f>
        <v>alone</v>
      </c>
      <c r="G27" s="3"/>
    </row>
    <row r="28" spans="1:7">
      <c r="A28" s="81"/>
      <c r="B28" s="31" t="s">
        <v>8</v>
      </c>
      <c r="C28" s="32" t="s">
        <v>39</v>
      </c>
      <c r="D28" s="22" t="s">
        <v>945</v>
      </c>
      <c r="E28" s="16" t="s">
        <v>946</v>
      </c>
      <c r="F28" s="33" t="str">
        <f ca="1">IFERROR(__xludf.DUMMYFUNCTION("GOOGLETRANSLATE(E395, ""ja"",""en"")"),"to relocate")</f>
        <v>to relocate</v>
      </c>
      <c r="G28" s="4"/>
    </row>
    <row r="29" spans="1:7">
      <c r="A29" s="81"/>
      <c r="B29" s="31" t="s">
        <v>8</v>
      </c>
      <c r="C29" s="32" t="s">
        <v>39</v>
      </c>
      <c r="D29" s="23" t="s">
        <v>417</v>
      </c>
      <c r="E29" s="16" t="s">
        <v>947</v>
      </c>
      <c r="F29" s="33" t="str">
        <f ca="1">IFERROR(__xludf.DUMMYFUNCTION("GOOGLETRANSLATE(E257, ""ja"",""en"")"),"many")</f>
        <v>many</v>
      </c>
      <c r="G29" s="4"/>
    </row>
    <row r="30" spans="1:7">
      <c r="A30" s="81"/>
      <c r="B30" s="31" t="s">
        <v>8</v>
      </c>
      <c r="C30" s="32" t="s">
        <v>39</v>
      </c>
      <c r="D30" s="22" t="s">
        <v>418</v>
      </c>
      <c r="E30" s="16" t="s">
        <v>3045</v>
      </c>
      <c r="F30" s="33" t="str">
        <f ca="1">IFERROR(__xludf.DUMMYFUNCTION("GOOGLETRANSLATE(E415, ""ja"",""en"")"),"worker")</f>
        <v>worker</v>
      </c>
      <c r="G30" s="3"/>
    </row>
    <row r="31" spans="1:7">
      <c r="A31" s="81"/>
      <c r="B31" s="31" t="s">
        <v>8</v>
      </c>
      <c r="C31" s="32" t="s">
        <v>39</v>
      </c>
      <c r="D31" s="22" t="s">
        <v>419</v>
      </c>
      <c r="E31" s="16" t="s">
        <v>3524</v>
      </c>
      <c r="F31" s="33" t="str">
        <f ca="1">IFERROR(__xludf.DUMMYFUNCTION("GOOGLETRANSLATE(E367, ""ja"",""en"")"),"stomach")</f>
        <v>stomach</v>
      </c>
      <c r="G31" s="3"/>
    </row>
    <row r="32" spans="1:7">
      <c r="A32" s="81"/>
      <c r="B32" s="31" t="s">
        <v>8</v>
      </c>
      <c r="C32" s="32" t="s">
        <v>39</v>
      </c>
      <c r="D32" s="22" t="s">
        <v>948</v>
      </c>
      <c r="E32" s="16" t="s">
        <v>949</v>
      </c>
      <c r="F32" s="33" t="s">
        <v>3611</v>
      </c>
      <c r="G32" s="3"/>
    </row>
    <row r="33" spans="1:7">
      <c r="A33" s="81"/>
      <c r="B33" s="31" t="s">
        <v>8</v>
      </c>
      <c r="C33" s="32" t="s">
        <v>43</v>
      </c>
      <c r="D33" s="22" t="s">
        <v>420</v>
      </c>
      <c r="E33" s="16" t="s">
        <v>3525</v>
      </c>
      <c r="F33" s="33" t="str">
        <f ca="1">IFERROR(__xludf.DUMMYFUNCTION("GOOGLETRANSLATE(E369, ""ja"",""en"")"),"food stall")</f>
        <v>food stall</v>
      </c>
      <c r="G33" s="3"/>
    </row>
    <row r="34" spans="1:7">
      <c r="A34" s="81"/>
      <c r="B34" s="31" t="s">
        <v>8</v>
      </c>
      <c r="C34" s="32" t="s">
        <v>43</v>
      </c>
      <c r="D34" s="22" t="s">
        <v>421</v>
      </c>
      <c r="E34" s="16" t="s">
        <v>3526</v>
      </c>
      <c r="F34" s="33" t="str">
        <f ca="1">IFERROR(__xludf.DUMMYFUNCTION("GOOGLETRANSLATE(E370, ""ja"",""en"")"),"eating out")</f>
        <v>eating out</v>
      </c>
      <c r="G34" s="3"/>
    </row>
    <row r="35" spans="1:7">
      <c r="A35" s="81"/>
      <c r="B35" s="31" t="s">
        <v>8</v>
      </c>
      <c r="C35" s="32" t="s">
        <v>43</v>
      </c>
      <c r="D35" s="22" t="s">
        <v>950</v>
      </c>
      <c r="E35" s="16" t="s">
        <v>951</v>
      </c>
      <c r="F35" s="33" t="s">
        <v>934</v>
      </c>
      <c r="G35" s="4"/>
    </row>
    <row r="36" spans="1:7">
      <c r="A36" s="81"/>
      <c r="B36" s="31" t="s">
        <v>8</v>
      </c>
      <c r="C36" s="32" t="s">
        <v>49</v>
      </c>
      <c r="D36" s="23" t="s">
        <v>422</v>
      </c>
      <c r="E36" s="16" t="s">
        <v>3527</v>
      </c>
      <c r="F36" s="33" t="str">
        <f ca="1">IFERROR(__xludf.DUMMYFUNCTION("GOOGLETRANSLATE(E417, ""ja"",""en"")"),"nigiri sushi")</f>
        <v>nigiri sushi</v>
      </c>
      <c r="G36" s="4"/>
    </row>
    <row r="37" spans="1:7">
      <c r="A37" s="81"/>
      <c r="B37" s="31" t="s">
        <v>8</v>
      </c>
      <c r="C37" s="32" t="s">
        <v>49</v>
      </c>
      <c r="D37" s="23" t="s">
        <v>423</v>
      </c>
      <c r="E37" s="16" t="s">
        <v>977</v>
      </c>
      <c r="F37" s="33" t="s">
        <v>952</v>
      </c>
      <c r="G37" s="3"/>
    </row>
    <row r="38" spans="1:7">
      <c r="A38" s="81"/>
      <c r="B38" s="31" t="s">
        <v>8</v>
      </c>
      <c r="C38" s="32" t="s">
        <v>49</v>
      </c>
      <c r="D38" s="23" t="s">
        <v>293</v>
      </c>
      <c r="E38" s="24" t="s">
        <v>293</v>
      </c>
      <c r="F38" s="33" t="s">
        <v>3612</v>
      </c>
      <c r="G38" s="3"/>
    </row>
    <row r="39" spans="1:7" ht="34">
      <c r="A39" s="81"/>
      <c r="B39" s="31" t="s">
        <v>8</v>
      </c>
      <c r="C39" s="32" t="s">
        <v>49</v>
      </c>
      <c r="D39" s="16" t="s">
        <v>424</v>
      </c>
      <c r="E39" s="16" t="s">
        <v>425</v>
      </c>
      <c r="F39" s="46" t="s">
        <v>953</v>
      </c>
      <c r="G39" s="3"/>
    </row>
    <row r="40" spans="1:7">
      <c r="A40" s="81"/>
      <c r="B40" s="31" t="s">
        <v>8</v>
      </c>
      <c r="C40" s="32" t="s">
        <v>54</v>
      </c>
      <c r="D40" s="23" t="s">
        <v>426</v>
      </c>
      <c r="E40" s="20" t="s">
        <v>427</v>
      </c>
      <c r="F40" s="33" t="s">
        <v>679</v>
      </c>
      <c r="G40" s="3"/>
    </row>
    <row r="41" spans="1:7">
      <c r="A41" s="81"/>
      <c r="B41" s="31" t="s">
        <v>8</v>
      </c>
      <c r="C41" s="32" t="s">
        <v>54</v>
      </c>
      <c r="D41" s="22" t="s">
        <v>428</v>
      </c>
      <c r="E41" s="16" t="s">
        <v>3528</v>
      </c>
      <c r="F41" s="20" t="s">
        <v>954</v>
      </c>
      <c r="G41" s="4"/>
    </row>
    <row r="42" spans="1:7">
      <c r="A42" s="81"/>
      <c r="B42" s="31" t="s">
        <v>8</v>
      </c>
      <c r="C42" s="32" t="s">
        <v>58</v>
      </c>
      <c r="D42" s="22" t="s">
        <v>429</v>
      </c>
      <c r="E42" s="16" t="s">
        <v>3529</v>
      </c>
      <c r="F42" s="33" t="str">
        <f ca="1">IFERROR(__xludf.DUMMYFUNCTION("GOOGLETRANSLATE(E420, ""ja"",""en"")"),"number")</f>
        <v>number</v>
      </c>
      <c r="G42" s="3"/>
    </row>
    <row r="43" spans="1:7">
      <c r="A43" s="81"/>
      <c r="B43" s="31" t="s">
        <v>8</v>
      </c>
      <c r="C43" s="32" t="s">
        <v>58</v>
      </c>
      <c r="D43" s="22" t="s">
        <v>430</v>
      </c>
      <c r="E43" s="16" t="s">
        <v>1523</v>
      </c>
      <c r="F43" s="33" t="str">
        <f ca="1">IFERROR(__xludf.DUMMYFUNCTION("GOOGLETRANSLATE(E398, ""ja"",""en"")"),"common people")</f>
        <v>common people</v>
      </c>
      <c r="G43" s="3"/>
    </row>
    <row r="44" spans="1:7">
      <c r="A44" s="81"/>
      <c r="B44" s="31" t="s">
        <v>8</v>
      </c>
      <c r="C44" s="36" t="s">
        <v>60</v>
      </c>
      <c r="D44" s="23" t="s">
        <v>3751</v>
      </c>
      <c r="E44" s="20" t="s">
        <v>3752</v>
      </c>
      <c r="F44" s="33" t="s">
        <v>3753</v>
      </c>
      <c r="G44" s="3"/>
    </row>
    <row r="45" spans="1:7">
      <c r="A45" s="81"/>
      <c r="B45" s="31" t="s">
        <v>8</v>
      </c>
      <c r="C45" s="32" t="s">
        <v>60</v>
      </c>
      <c r="D45" s="22" t="s">
        <v>955</v>
      </c>
      <c r="E45" s="16" t="s">
        <v>956</v>
      </c>
      <c r="F45" s="33" t="str">
        <f ca="1">IFERROR(__xludf.DUMMYFUNCTION("GOOGLETRANSLATE(E421, ""ja"",""en"")"),"to appear")</f>
        <v>to appear</v>
      </c>
      <c r="G45" s="3"/>
    </row>
    <row r="46" spans="1:7">
      <c r="A46" s="81"/>
      <c r="B46" s="31" t="s">
        <v>8</v>
      </c>
      <c r="C46" s="32" t="s">
        <v>63</v>
      </c>
      <c r="D46" s="22" t="s">
        <v>431</v>
      </c>
      <c r="E46" s="16" t="s">
        <v>3530</v>
      </c>
      <c r="F46" s="20" t="s">
        <v>957</v>
      </c>
      <c r="G46" s="3"/>
    </row>
    <row r="47" spans="1:7">
      <c r="A47" s="81"/>
      <c r="B47" s="31" t="s">
        <v>8</v>
      </c>
      <c r="C47" s="32" t="s">
        <v>63</v>
      </c>
      <c r="D47" s="22" t="s">
        <v>958</v>
      </c>
      <c r="E47" s="16" t="s">
        <v>959</v>
      </c>
      <c r="F47" s="33" t="s">
        <v>960</v>
      </c>
      <c r="G47" s="3"/>
    </row>
    <row r="48" spans="1:7">
      <c r="A48" s="81"/>
      <c r="B48" s="31" t="s">
        <v>8</v>
      </c>
      <c r="C48" s="32" t="s">
        <v>63</v>
      </c>
      <c r="D48" s="22" t="s">
        <v>432</v>
      </c>
      <c r="E48" s="16" t="s">
        <v>433</v>
      </c>
      <c r="F48" s="33" t="s">
        <v>1473</v>
      </c>
      <c r="G48" s="4"/>
    </row>
    <row r="49" spans="1:7">
      <c r="A49" s="81"/>
      <c r="B49" s="31" t="s">
        <v>8</v>
      </c>
      <c r="C49" s="32" t="s">
        <v>63</v>
      </c>
      <c r="D49" s="23" t="s">
        <v>434</v>
      </c>
      <c r="E49" s="20" t="s">
        <v>435</v>
      </c>
      <c r="F49" s="33" t="s">
        <v>961</v>
      </c>
      <c r="G49" s="4"/>
    </row>
    <row r="50" spans="1:7">
      <c r="A50" s="81"/>
      <c r="B50" s="31" t="s">
        <v>8</v>
      </c>
      <c r="C50" s="32" t="s">
        <v>66</v>
      </c>
      <c r="D50" s="23" t="s">
        <v>436</v>
      </c>
      <c r="E50" s="20" t="s">
        <v>436</v>
      </c>
      <c r="F50" s="20" t="s">
        <v>962</v>
      </c>
      <c r="G50" s="4"/>
    </row>
    <row r="51" spans="1:7">
      <c r="A51" s="81"/>
      <c r="B51" s="31" t="s">
        <v>8</v>
      </c>
      <c r="C51" s="32" t="s">
        <v>66</v>
      </c>
      <c r="D51" s="22" t="s">
        <v>437</v>
      </c>
      <c r="E51" s="16" t="s">
        <v>3531</v>
      </c>
      <c r="F51" s="33" t="s">
        <v>3613</v>
      </c>
      <c r="G51" s="3"/>
    </row>
    <row r="52" spans="1:7">
      <c r="A52" s="81"/>
      <c r="B52" s="31" t="s">
        <v>8</v>
      </c>
      <c r="C52" s="32" t="s">
        <v>68</v>
      </c>
      <c r="D52" s="22" t="s">
        <v>438</v>
      </c>
      <c r="E52" s="16" t="s">
        <v>3533</v>
      </c>
      <c r="F52" s="33" t="str">
        <f ca="1">IFERROR(__xludf.DUMMYFUNCTION("GOOGLETRANSLATE(E379, ""ja"",""en"")"),"latter period")</f>
        <v>latter period</v>
      </c>
      <c r="G52" s="3"/>
    </row>
    <row r="53" spans="1:7">
      <c r="A53" s="81"/>
      <c r="B53" s="31" t="s">
        <v>8</v>
      </c>
      <c r="C53" s="32" t="s">
        <v>68</v>
      </c>
      <c r="D53" s="23" t="s">
        <v>439</v>
      </c>
      <c r="E53" s="16" t="s">
        <v>3534</v>
      </c>
      <c r="F53" s="33" t="s">
        <v>963</v>
      </c>
      <c r="G53" s="3"/>
    </row>
    <row r="54" spans="1:7">
      <c r="A54" s="81"/>
      <c r="B54" s="31" t="s">
        <v>8</v>
      </c>
      <c r="C54" s="32" t="s">
        <v>68</v>
      </c>
      <c r="D54" s="22" t="s">
        <v>440</v>
      </c>
      <c r="E54" s="16" t="s">
        <v>3535</v>
      </c>
      <c r="F54" s="33" t="str">
        <f ca="1">IFERROR(__xludf.DUMMYFUNCTION("GOOGLETRANSLATE(E423, ""ja"",""en"")"),"merchant")</f>
        <v>merchant</v>
      </c>
      <c r="G54" s="3"/>
    </row>
    <row r="55" spans="1:7">
      <c r="A55" s="81"/>
      <c r="B55" s="31" t="s">
        <v>8</v>
      </c>
      <c r="C55" s="32" t="s">
        <v>68</v>
      </c>
      <c r="D55" s="22" t="s">
        <v>441</v>
      </c>
      <c r="E55" s="16" t="s">
        <v>3536</v>
      </c>
      <c r="F55" s="33" t="str">
        <f ca="1">IFERROR(__xludf.DUMMYFUNCTION("GOOGLETRANSLATE(E424, ""ja"",""en"")"),"samurai")</f>
        <v>samurai</v>
      </c>
      <c r="G55" s="3"/>
    </row>
    <row r="56" spans="1:7">
      <c r="A56" s="81"/>
      <c r="B56" s="31" t="s">
        <v>8</v>
      </c>
      <c r="C56" s="32" t="s">
        <v>68</v>
      </c>
      <c r="D56" s="22" t="s">
        <v>442</v>
      </c>
      <c r="E56" s="16" t="s">
        <v>3537</v>
      </c>
      <c r="F56" s="20" t="s">
        <v>964</v>
      </c>
      <c r="G56" s="3"/>
    </row>
    <row r="57" spans="1:7">
      <c r="A57" s="81"/>
      <c r="B57" s="31" t="s">
        <v>8</v>
      </c>
      <c r="C57" s="32" t="s">
        <v>68</v>
      </c>
      <c r="D57" s="23" t="s">
        <v>443</v>
      </c>
      <c r="E57" s="20" t="s">
        <v>3532</v>
      </c>
      <c r="F57" s="33" t="s">
        <v>3614</v>
      </c>
      <c r="G57" s="3"/>
    </row>
    <row r="58" spans="1:7" ht="38">
      <c r="A58" s="81"/>
      <c r="B58" s="31" t="s">
        <v>8</v>
      </c>
      <c r="C58" s="32" t="s">
        <v>68</v>
      </c>
      <c r="D58" s="16" t="s">
        <v>444</v>
      </c>
      <c r="E58" s="16" t="s">
        <v>3538</v>
      </c>
      <c r="F58" s="25" t="s">
        <v>1474</v>
      </c>
      <c r="G58" s="3"/>
    </row>
    <row r="59" spans="1:7">
      <c r="A59" s="81"/>
      <c r="B59" s="31" t="s">
        <v>8</v>
      </c>
      <c r="C59" s="32" t="s">
        <v>179</v>
      </c>
      <c r="D59" s="23" t="s">
        <v>445</v>
      </c>
      <c r="E59" s="16" t="s">
        <v>3539</v>
      </c>
      <c r="F59" s="33" t="s">
        <v>3615</v>
      </c>
      <c r="G59" s="3"/>
    </row>
    <row r="60" spans="1:7">
      <c r="A60" s="81"/>
      <c r="B60" s="31" t="s">
        <v>8</v>
      </c>
      <c r="C60" s="32" t="s">
        <v>179</v>
      </c>
      <c r="D60" s="16" t="s">
        <v>965</v>
      </c>
      <c r="E60" s="16" t="s">
        <v>966</v>
      </c>
      <c r="F60" s="25" t="str">
        <f ca="1">IFERROR(__xludf.DUMMYFUNCTION("GOOGLETRANSLATE(E401, ""ja"",""en"")"),"to provide")</f>
        <v>to provide</v>
      </c>
      <c r="G60" s="4"/>
    </row>
    <row r="61" spans="1:7">
      <c r="A61" s="81"/>
      <c r="B61" s="31" t="s">
        <v>8</v>
      </c>
      <c r="C61" s="32" t="s">
        <v>179</v>
      </c>
      <c r="D61" s="22" t="s">
        <v>446</v>
      </c>
      <c r="E61" s="16" t="s">
        <v>3540</v>
      </c>
      <c r="F61" s="33" t="str">
        <f ca="1">IFERROR(__xludf.DUMMYFUNCTION("GOOGLETRANSLATE(E383, ""ja"",""en"")"),"geisha")</f>
        <v>geisha</v>
      </c>
      <c r="G61" s="3"/>
    </row>
    <row r="62" spans="1:7">
      <c r="A62" s="81"/>
      <c r="B62" s="31" t="s">
        <v>8</v>
      </c>
      <c r="C62" s="32" t="s">
        <v>179</v>
      </c>
      <c r="D62" s="22" t="s">
        <v>967</v>
      </c>
      <c r="E62" s="16" t="s">
        <v>968</v>
      </c>
      <c r="F62" s="33" t="s">
        <v>1475</v>
      </c>
      <c r="G62" s="3"/>
    </row>
    <row r="63" spans="1:7">
      <c r="A63" s="81"/>
      <c r="B63" s="31" t="s">
        <v>8</v>
      </c>
      <c r="C63" s="32" t="s">
        <v>179</v>
      </c>
      <c r="D63" s="23" t="s">
        <v>447</v>
      </c>
      <c r="E63" s="20" t="s">
        <v>448</v>
      </c>
      <c r="F63" s="20" t="s">
        <v>1476</v>
      </c>
      <c r="G63" s="3"/>
    </row>
    <row r="64" spans="1:7">
      <c r="A64" s="81"/>
      <c r="B64" s="31" t="s">
        <v>8</v>
      </c>
      <c r="C64" s="32" t="s">
        <v>73</v>
      </c>
      <c r="D64" s="22" t="s">
        <v>449</v>
      </c>
      <c r="E64" s="16" t="str">
        <f t="shared" si="0"/>
        <v>ちなみに</v>
      </c>
      <c r="F64" s="33" t="str">
        <f ca="1">IFERROR(__xludf.DUMMYFUNCTION("GOOGLETRANSLATE(E386, ""ja"",""en"")"),"as a side note")</f>
        <v>as a side note</v>
      </c>
      <c r="G64" s="3"/>
    </row>
    <row r="65" spans="1:7" ht="38">
      <c r="A65" s="81"/>
      <c r="B65" s="31" t="s">
        <v>8</v>
      </c>
      <c r="C65" s="32" t="s">
        <v>73</v>
      </c>
      <c r="D65" s="20" t="s">
        <v>450</v>
      </c>
      <c r="E65" s="16" t="s">
        <v>3541</v>
      </c>
      <c r="F65" s="25" t="s">
        <v>1477</v>
      </c>
      <c r="G65" s="3"/>
    </row>
    <row r="66" spans="1:7">
      <c r="A66" s="81"/>
      <c r="B66" s="31" t="s">
        <v>8</v>
      </c>
      <c r="C66" s="32" t="s">
        <v>73</v>
      </c>
      <c r="D66" s="22" t="s">
        <v>451</v>
      </c>
      <c r="E66" s="16" t="s">
        <v>3542</v>
      </c>
      <c r="F66" s="20" t="s">
        <v>969</v>
      </c>
      <c r="G66" s="3"/>
    </row>
    <row r="67" spans="1:7">
      <c r="A67" s="81"/>
      <c r="B67" s="31" t="s">
        <v>8</v>
      </c>
      <c r="C67" s="32" t="s">
        <v>73</v>
      </c>
      <c r="D67" s="22" t="s">
        <v>452</v>
      </c>
      <c r="E67" s="16" t="s">
        <v>453</v>
      </c>
      <c r="F67" s="20" t="s">
        <v>970</v>
      </c>
      <c r="G67" s="3"/>
    </row>
    <row r="68" spans="1:7">
      <c r="A68" s="81"/>
      <c r="B68" s="31" t="s">
        <v>8</v>
      </c>
      <c r="C68" s="32" t="s">
        <v>73</v>
      </c>
      <c r="D68" s="22" t="s">
        <v>48</v>
      </c>
      <c r="E68" s="16" t="s">
        <v>3543</v>
      </c>
      <c r="F68" s="33" t="s">
        <v>3616</v>
      </c>
      <c r="G68" s="3"/>
    </row>
    <row r="69" spans="1:7">
      <c r="A69" s="81"/>
      <c r="B69" s="31" t="s">
        <v>8</v>
      </c>
      <c r="C69" s="32" t="s">
        <v>73</v>
      </c>
      <c r="D69" s="23" t="s">
        <v>454</v>
      </c>
      <c r="E69" s="24" t="s">
        <v>455</v>
      </c>
      <c r="F69" s="33" t="s">
        <v>972</v>
      </c>
      <c r="G69" s="3"/>
    </row>
    <row r="70" spans="1:7" ht="30">
      <c r="A70" s="81"/>
      <c r="B70" s="31" t="s">
        <v>8</v>
      </c>
      <c r="C70" s="32" t="s">
        <v>73</v>
      </c>
      <c r="D70" s="20" t="s">
        <v>456</v>
      </c>
      <c r="E70" s="24" t="s">
        <v>457</v>
      </c>
      <c r="F70" s="17" t="s">
        <v>702</v>
      </c>
      <c r="G70" s="3"/>
    </row>
    <row r="71" spans="1:7">
      <c r="A71" s="81"/>
      <c r="B71" s="31" t="s">
        <v>8</v>
      </c>
      <c r="C71" s="32" t="s">
        <v>73</v>
      </c>
      <c r="D71" s="23" t="s">
        <v>458</v>
      </c>
      <c r="E71" s="16" t="s">
        <v>3544</v>
      </c>
      <c r="F71" s="20" t="s">
        <v>3617</v>
      </c>
      <c r="G71" s="3"/>
    </row>
    <row r="72" spans="1:7">
      <c r="A72" s="81"/>
      <c r="B72" s="31" t="s">
        <v>8</v>
      </c>
      <c r="C72" s="32" t="s">
        <v>186</v>
      </c>
      <c r="D72" s="22" t="s">
        <v>459</v>
      </c>
      <c r="E72" s="16" t="s">
        <v>460</v>
      </c>
      <c r="F72" s="20" t="s">
        <v>973</v>
      </c>
      <c r="G72" s="3"/>
    </row>
    <row r="73" spans="1:7">
      <c r="A73" s="81"/>
      <c r="B73" s="31" t="s">
        <v>77</v>
      </c>
      <c r="C73" s="32" t="s">
        <v>209</v>
      </c>
      <c r="D73" s="22" t="s">
        <v>974</v>
      </c>
      <c r="E73" s="16" t="s">
        <v>975</v>
      </c>
      <c r="F73" s="33" t="s">
        <v>976</v>
      </c>
      <c r="G73" s="3"/>
    </row>
    <row r="74" spans="1:7">
      <c r="A74" s="81"/>
      <c r="B74" s="31" t="s">
        <v>77</v>
      </c>
      <c r="C74" s="32" t="s">
        <v>209</v>
      </c>
      <c r="D74" s="20" t="s">
        <v>461</v>
      </c>
      <c r="E74" s="16" t="s">
        <v>3545</v>
      </c>
      <c r="F74" s="25" t="s">
        <v>3618</v>
      </c>
      <c r="G74" s="3"/>
    </row>
    <row r="75" spans="1:7">
      <c r="A75" s="81"/>
      <c r="B75" s="31" t="s">
        <v>83</v>
      </c>
      <c r="C75" s="32" t="s">
        <v>6</v>
      </c>
      <c r="D75" s="22" t="s">
        <v>979</v>
      </c>
      <c r="E75" s="16" t="s">
        <v>980</v>
      </c>
      <c r="F75" s="33" t="s">
        <v>978</v>
      </c>
      <c r="G75" s="3"/>
    </row>
    <row r="76" spans="1:7">
      <c r="A76" s="81"/>
      <c r="B76" s="31" t="s">
        <v>83</v>
      </c>
      <c r="C76" s="32" t="s">
        <v>6</v>
      </c>
      <c r="D76" s="23" t="s">
        <v>402</v>
      </c>
      <c r="E76" s="20" t="s">
        <v>352</v>
      </c>
      <c r="F76" s="33" t="s">
        <v>927</v>
      </c>
      <c r="G76" s="3"/>
    </row>
    <row r="77" spans="1:7">
      <c r="A77" s="81"/>
      <c r="B77" s="31" t="s">
        <v>83</v>
      </c>
      <c r="C77" s="32" t="s">
        <v>6</v>
      </c>
      <c r="D77" s="23" t="s">
        <v>462</v>
      </c>
      <c r="E77" s="20" t="s">
        <v>463</v>
      </c>
      <c r="F77" s="33" t="s">
        <v>981</v>
      </c>
      <c r="G77" s="3"/>
    </row>
    <row r="78" spans="1:7">
      <c r="A78" s="81"/>
      <c r="B78" s="31" t="s">
        <v>83</v>
      </c>
      <c r="C78" s="36" t="s">
        <v>12</v>
      </c>
      <c r="D78" s="23" t="s">
        <v>404</v>
      </c>
      <c r="E78" s="20" t="s">
        <v>405</v>
      </c>
      <c r="F78" s="33" t="s">
        <v>982</v>
      </c>
      <c r="G78" s="3"/>
    </row>
    <row r="79" spans="1:7">
      <c r="A79" s="81"/>
      <c r="B79" s="31" t="s">
        <v>83</v>
      </c>
      <c r="C79" s="32" t="s">
        <v>12</v>
      </c>
      <c r="D79" s="22" t="s">
        <v>464</v>
      </c>
      <c r="E79" s="16" t="s">
        <v>1511</v>
      </c>
      <c r="F79" s="33" t="str">
        <f ca="1">IFERROR(__xludf.DUMMYFUNCTION("GOOGLETRANSLATE(E473, ""ja"",""en"")"),"latter half")</f>
        <v>latter half</v>
      </c>
      <c r="G79" s="3"/>
    </row>
    <row r="80" spans="1:7">
      <c r="A80" s="81"/>
      <c r="B80" s="31" t="s">
        <v>83</v>
      </c>
      <c r="C80" s="32" t="s">
        <v>12</v>
      </c>
      <c r="D80" s="23" t="s">
        <v>923</v>
      </c>
      <c r="E80" s="20" t="s">
        <v>924</v>
      </c>
      <c r="F80" s="33" t="s">
        <v>925</v>
      </c>
      <c r="G80" s="3"/>
    </row>
    <row r="81" spans="1:7" ht="38">
      <c r="A81" s="81"/>
      <c r="B81" s="31" t="s">
        <v>83</v>
      </c>
      <c r="C81" s="32" t="s">
        <v>18</v>
      </c>
      <c r="D81" s="22" t="s">
        <v>465</v>
      </c>
      <c r="E81" s="16" t="s">
        <v>3546</v>
      </c>
      <c r="F81" s="20" t="s">
        <v>3619</v>
      </c>
      <c r="G81" s="3"/>
    </row>
    <row r="82" spans="1:7">
      <c r="A82" s="81"/>
      <c r="B82" s="31" t="s">
        <v>83</v>
      </c>
      <c r="C82" s="32" t="s">
        <v>18</v>
      </c>
      <c r="D82" s="22" t="s">
        <v>466</v>
      </c>
      <c r="E82" s="16" t="s">
        <v>3547</v>
      </c>
      <c r="F82" s="33" t="str">
        <f ca="1">IFERROR(__xludf.DUMMYFUNCTION("GOOGLETRANSLATE(E433, ""ja"",""en"")"),"turning point")</f>
        <v>turning point</v>
      </c>
      <c r="G82" s="3"/>
    </row>
    <row r="83" spans="1:7">
      <c r="A83" s="81"/>
      <c r="B83" s="31" t="s">
        <v>83</v>
      </c>
      <c r="C83" s="32" t="s">
        <v>18</v>
      </c>
      <c r="D83" s="22" t="s">
        <v>467</v>
      </c>
      <c r="E83" s="16" t="s">
        <v>3548</v>
      </c>
      <c r="F83" s="33" t="s">
        <v>983</v>
      </c>
      <c r="G83" s="4"/>
    </row>
    <row r="84" spans="1:7">
      <c r="A84" s="81"/>
      <c r="B84" s="31" t="s">
        <v>83</v>
      </c>
      <c r="C84" s="32" t="s">
        <v>21</v>
      </c>
      <c r="D84" s="22" t="s">
        <v>468</v>
      </c>
      <c r="E84" s="16" t="s">
        <v>3549</v>
      </c>
      <c r="F84" s="33" t="str">
        <f ca="1">IFERROR(__xludf.DUMMYFUNCTION("GOOGLETRANSLATE(E489, ""ja"",""en"")"),"philosophy")</f>
        <v>philosophy</v>
      </c>
      <c r="G84" s="3"/>
    </row>
    <row r="85" spans="1:7">
      <c r="A85" s="81"/>
      <c r="B85" s="31" t="s">
        <v>83</v>
      </c>
      <c r="C85" s="32" t="s">
        <v>21</v>
      </c>
      <c r="D85" s="23" t="s">
        <v>984</v>
      </c>
      <c r="E85" s="24" t="s">
        <v>985</v>
      </c>
      <c r="F85" s="33" t="s">
        <v>903</v>
      </c>
      <c r="G85" s="3"/>
    </row>
    <row r="86" spans="1:7">
      <c r="A86" s="81"/>
      <c r="B86" s="31" t="s">
        <v>83</v>
      </c>
      <c r="C86" s="32" t="s">
        <v>23</v>
      </c>
      <c r="D86" s="22" t="s">
        <v>469</v>
      </c>
      <c r="E86" s="16" t="s">
        <v>3550</v>
      </c>
      <c r="F86" s="33" t="str">
        <f ca="1">IFERROR(__xludf.DUMMYFUNCTION("GOOGLETRANSLATE(E491, ""ja"",""en"")"),"basis")</f>
        <v>basis</v>
      </c>
      <c r="G86" s="3"/>
    </row>
    <row r="87" spans="1:7">
      <c r="A87" s="81"/>
      <c r="B87" s="31" t="s">
        <v>83</v>
      </c>
      <c r="C87" s="32" t="s">
        <v>23</v>
      </c>
      <c r="D87" s="22" t="s">
        <v>470</v>
      </c>
      <c r="E87" s="16" t="s">
        <v>3551</v>
      </c>
      <c r="F87" s="33" t="s">
        <v>986</v>
      </c>
      <c r="G87" s="3"/>
    </row>
    <row r="88" spans="1:7">
      <c r="A88" s="81"/>
      <c r="B88" s="31" t="s">
        <v>83</v>
      </c>
      <c r="C88" s="32" t="s">
        <v>23</v>
      </c>
      <c r="D88" s="22" t="s">
        <v>471</v>
      </c>
      <c r="E88" s="16" t="s">
        <v>3552</v>
      </c>
      <c r="F88" s="33" t="str">
        <f ca="1">IFERROR(__xludf.DUMMYFUNCTION("GOOGLETRANSLATE(E493, ""ja"",""en"")"),"railway")</f>
        <v>railway</v>
      </c>
      <c r="G88" s="3"/>
    </row>
    <row r="89" spans="1:7" ht="38">
      <c r="A89" s="81"/>
      <c r="B89" s="31" t="s">
        <v>83</v>
      </c>
      <c r="C89" s="32" t="s">
        <v>27</v>
      </c>
      <c r="D89" s="20" t="s">
        <v>472</v>
      </c>
      <c r="E89" s="16" t="s">
        <v>3553</v>
      </c>
      <c r="F89" s="25" t="s">
        <v>987</v>
      </c>
      <c r="G89" s="48"/>
    </row>
    <row r="90" spans="1:7">
      <c r="A90" s="81"/>
      <c r="B90" s="31" t="s">
        <v>83</v>
      </c>
      <c r="C90" s="32" t="s">
        <v>27</v>
      </c>
      <c r="D90" s="22" t="s">
        <v>473</v>
      </c>
      <c r="E90" s="16" t="s">
        <v>3554</v>
      </c>
      <c r="F90" s="33" t="str">
        <f ca="1">IFERROR(__xludf.DUMMYFUNCTION("GOOGLETRANSLATE(E530, ""ja"",""en"")"),"nation")</f>
        <v>nation</v>
      </c>
      <c r="G90" s="3"/>
    </row>
    <row r="91" spans="1:7">
      <c r="A91" s="81"/>
      <c r="B91" s="31" t="s">
        <v>83</v>
      </c>
      <c r="C91" s="32" t="s">
        <v>27</v>
      </c>
      <c r="D91" s="22" t="s">
        <v>474</v>
      </c>
      <c r="E91" s="16" t="s">
        <v>3555</v>
      </c>
      <c r="F91" s="33" t="s">
        <v>988</v>
      </c>
      <c r="G91" s="4"/>
    </row>
    <row r="92" spans="1:7">
      <c r="A92" s="81"/>
      <c r="B92" s="31" t="s">
        <v>83</v>
      </c>
      <c r="C92" s="32" t="s">
        <v>27</v>
      </c>
      <c r="D92" s="23" t="s">
        <v>990</v>
      </c>
      <c r="E92" s="24" t="s">
        <v>991</v>
      </c>
      <c r="F92" s="33" t="s">
        <v>989</v>
      </c>
      <c r="G92" s="4"/>
    </row>
    <row r="93" spans="1:7">
      <c r="A93" s="81"/>
      <c r="B93" s="31" t="s">
        <v>83</v>
      </c>
      <c r="C93" s="36" t="s">
        <v>30</v>
      </c>
      <c r="D93" s="23" t="s">
        <v>475</v>
      </c>
      <c r="E93" s="24" t="s">
        <v>476</v>
      </c>
      <c r="F93" s="33" t="s">
        <v>3620</v>
      </c>
      <c r="G93" s="4"/>
    </row>
    <row r="94" spans="1:7">
      <c r="A94" s="81"/>
      <c r="B94" s="31" t="s">
        <v>83</v>
      </c>
      <c r="C94" s="36" t="s">
        <v>30</v>
      </c>
      <c r="D94" s="23" t="s">
        <v>191</v>
      </c>
      <c r="E94" s="24" t="s">
        <v>477</v>
      </c>
      <c r="F94" s="33" t="s">
        <v>992</v>
      </c>
      <c r="G94" s="4"/>
    </row>
    <row r="95" spans="1:7">
      <c r="A95" s="81"/>
      <c r="B95" s="31" t="s">
        <v>83</v>
      </c>
      <c r="C95" s="36" t="s">
        <v>30</v>
      </c>
      <c r="D95" s="23" t="s">
        <v>478</v>
      </c>
      <c r="E95" s="24" t="s">
        <v>479</v>
      </c>
      <c r="F95" s="33" t="s">
        <v>3621</v>
      </c>
      <c r="G95" s="4"/>
    </row>
    <row r="96" spans="1:7">
      <c r="A96" s="81"/>
      <c r="B96" s="31" t="s">
        <v>83</v>
      </c>
      <c r="C96" s="32" t="s">
        <v>238</v>
      </c>
      <c r="D96" s="23" t="s">
        <v>480</v>
      </c>
      <c r="E96" s="24" t="s">
        <v>481</v>
      </c>
      <c r="F96" s="33" t="s">
        <v>826</v>
      </c>
      <c r="G96" s="4"/>
    </row>
    <row r="97" spans="1:7">
      <c r="A97" s="81"/>
      <c r="B97" s="31" t="s">
        <v>83</v>
      </c>
      <c r="C97" s="32" t="s">
        <v>238</v>
      </c>
      <c r="D97" s="22" t="s">
        <v>993</v>
      </c>
      <c r="E97" s="16" t="s">
        <v>994</v>
      </c>
      <c r="F97" s="33" t="str">
        <f ca="1">IFERROR(__xludf.DUMMYFUNCTION("GOOGLETRANSLATE(E499, ""ja"",""en"")"),"to give")</f>
        <v>to give</v>
      </c>
      <c r="G97" s="3"/>
    </row>
    <row r="98" spans="1:7" ht="38">
      <c r="A98" s="81"/>
      <c r="B98" s="31" t="s">
        <v>83</v>
      </c>
      <c r="C98" s="32" t="s">
        <v>238</v>
      </c>
      <c r="D98" s="23" t="s">
        <v>482</v>
      </c>
      <c r="E98" s="20" t="s">
        <v>995</v>
      </c>
      <c r="F98" s="20" t="s">
        <v>996</v>
      </c>
      <c r="G98" s="3"/>
    </row>
    <row r="99" spans="1:7">
      <c r="A99" s="81"/>
      <c r="B99" s="31" t="s">
        <v>83</v>
      </c>
      <c r="C99" s="32" t="s">
        <v>238</v>
      </c>
      <c r="D99" s="22" t="s">
        <v>483</v>
      </c>
      <c r="E99" s="16" t="s">
        <v>3556</v>
      </c>
      <c r="F99" s="33" t="s">
        <v>1478</v>
      </c>
      <c r="G99" s="3"/>
    </row>
    <row r="100" spans="1:7">
      <c r="A100" s="81"/>
      <c r="B100" s="31" t="s">
        <v>83</v>
      </c>
      <c r="C100" s="32" t="s">
        <v>238</v>
      </c>
      <c r="D100" s="22" t="s">
        <v>997</v>
      </c>
      <c r="E100" s="16" t="s">
        <v>998</v>
      </c>
      <c r="F100" s="33" t="str">
        <f ca="1">IFERROR(__xludf.DUMMYFUNCTION("GOOGLETRANSLATE(E501, ""ja"",""en"")"),"to admit")</f>
        <v>to admit</v>
      </c>
      <c r="G100" s="3"/>
    </row>
    <row r="101" spans="1:7">
      <c r="A101" s="81"/>
      <c r="B101" s="31" t="s">
        <v>83</v>
      </c>
      <c r="C101" s="32" t="s">
        <v>34</v>
      </c>
      <c r="D101" s="22" t="s">
        <v>484</v>
      </c>
      <c r="E101" s="16" t="s">
        <v>3557</v>
      </c>
      <c r="F101" s="33" t="str">
        <f ca="1">IFERROR(__xludf.DUMMYFUNCTION("GOOGLETRANSLATE(E438, ""ja"",""en"")"),"leek")</f>
        <v>leek</v>
      </c>
      <c r="G101" s="3"/>
    </row>
    <row r="102" spans="1:7">
      <c r="A102" s="81"/>
      <c r="B102" s="31" t="s">
        <v>83</v>
      </c>
      <c r="C102" s="32" t="s">
        <v>34</v>
      </c>
      <c r="D102" s="23" t="s">
        <v>485</v>
      </c>
      <c r="E102" s="20" t="s">
        <v>486</v>
      </c>
      <c r="F102" s="33" t="s">
        <v>1001</v>
      </c>
      <c r="G102" s="3"/>
    </row>
    <row r="103" spans="1:7">
      <c r="A103" s="81"/>
      <c r="B103" s="31" t="s">
        <v>83</v>
      </c>
      <c r="C103" s="32" t="s">
        <v>34</v>
      </c>
      <c r="D103" s="22" t="s">
        <v>487</v>
      </c>
      <c r="E103" s="16" t="s">
        <v>3558</v>
      </c>
      <c r="F103" s="33" t="s">
        <v>1002</v>
      </c>
      <c r="G103" s="4"/>
    </row>
    <row r="104" spans="1:7">
      <c r="A104" s="81"/>
      <c r="B104" s="31" t="s">
        <v>83</v>
      </c>
      <c r="C104" s="32" t="s">
        <v>34</v>
      </c>
      <c r="D104" s="22" t="s">
        <v>1003</v>
      </c>
      <c r="E104" s="16" t="s">
        <v>1004</v>
      </c>
      <c r="F104" s="33" t="s">
        <v>1479</v>
      </c>
      <c r="G104" s="3"/>
    </row>
    <row r="105" spans="1:7">
      <c r="A105" s="81"/>
      <c r="B105" s="31" t="s">
        <v>83</v>
      </c>
      <c r="C105" s="32" t="s">
        <v>34</v>
      </c>
      <c r="D105" s="22" t="s">
        <v>488</v>
      </c>
      <c r="E105" s="16" t="s">
        <v>3559</v>
      </c>
      <c r="F105" s="33" t="s">
        <v>3622</v>
      </c>
      <c r="G105" s="3"/>
    </row>
    <row r="106" spans="1:7">
      <c r="A106" s="81"/>
      <c r="B106" s="31" t="s">
        <v>83</v>
      </c>
      <c r="C106" s="32" t="s">
        <v>34</v>
      </c>
      <c r="D106" s="23" t="s">
        <v>489</v>
      </c>
      <c r="E106" s="20" t="s">
        <v>490</v>
      </c>
      <c r="F106" s="33" t="s">
        <v>1005</v>
      </c>
      <c r="G106" s="3"/>
    </row>
    <row r="107" spans="1:7">
      <c r="A107" s="81"/>
      <c r="B107" s="31" t="s">
        <v>83</v>
      </c>
      <c r="C107" s="32" t="s">
        <v>36</v>
      </c>
      <c r="D107" s="23" t="s">
        <v>439</v>
      </c>
      <c r="E107" s="20" t="s">
        <v>491</v>
      </c>
      <c r="F107" s="33" t="s">
        <v>963</v>
      </c>
      <c r="G107" s="3"/>
    </row>
    <row r="108" spans="1:7">
      <c r="A108" s="81"/>
      <c r="B108" s="31" t="s">
        <v>83</v>
      </c>
      <c r="C108" s="32" t="s">
        <v>36</v>
      </c>
      <c r="D108" s="22" t="s">
        <v>999</v>
      </c>
      <c r="E108" s="16" t="s">
        <v>1000</v>
      </c>
      <c r="F108" s="33" t="s">
        <v>1006</v>
      </c>
      <c r="G108" s="4"/>
    </row>
    <row r="109" spans="1:7">
      <c r="A109" s="81"/>
      <c r="B109" s="31" t="s">
        <v>83</v>
      </c>
      <c r="C109" s="32" t="s">
        <v>36</v>
      </c>
      <c r="D109" s="23" t="s">
        <v>492</v>
      </c>
      <c r="E109" s="20" t="s">
        <v>493</v>
      </c>
      <c r="F109" s="33" t="s">
        <v>1007</v>
      </c>
      <c r="G109" s="4"/>
    </row>
    <row r="110" spans="1:7">
      <c r="A110" s="81"/>
      <c r="B110" s="31" t="s">
        <v>83</v>
      </c>
      <c r="C110" s="32" t="s">
        <v>36</v>
      </c>
      <c r="D110" s="22" t="s">
        <v>494</v>
      </c>
      <c r="E110" s="16" t="s">
        <v>495</v>
      </c>
      <c r="F110" s="23" t="s">
        <v>1480</v>
      </c>
      <c r="G110" s="4"/>
    </row>
    <row r="111" spans="1:7">
      <c r="A111" s="81"/>
      <c r="B111" s="31" t="s">
        <v>83</v>
      </c>
      <c r="C111" s="32" t="s">
        <v>36</v>
      </c>
      <c r="D111" s="22" t="s">
        <v>496</v>
      </c>
      <c r="E111" s="16" t="s">
        <v>2062</v>
      </c>
      <c r="F111" s="33" t="str">
        <f ca="1">IFERROR(__xludf.DUMMYFUNCTION("GOOGLETRANSLATE(E442, ""ja"",""en"")"),"sweet sake")</f>
        <v>sweet sake</v>
      </c>
      <c r="G111" s="3"/>
    </row>
    <row r="112" spans="1:7">
      <c r="A112" s="81"/>
      <c r="B112" s="31" t="s">
        <v>83</v>
      </c>
      <c r="C112" s="32" t="s">
        <v>36</v>
      </c>
      <c r="D112" s="22" t="s">
        <v>497</v>
      </c>
      <c r="E112" s="16" t="s">
        <v>3560</v>
      </c>
      <c r="F112" s="20" t="s">
        <v>1008</v>
      </c>
      <c r="G112" s="3"/>
    </row>
    <row r="113" spans="1:7">
      <c r="A113" s="81"/>
      <c r="B113" s="31" t="s">
        <v>83</v>
      </c>
      <c r="C113" s="32" t="s">
        <v>39</v>
      </c>
      <c r="D113" s="23" t="s">
        <v>1009</v>
      </c>
      <c r="E113" s="20" t="s">
        <v>1010</v>
      </c>
      <c r="F113" s="33" t="str">
        <f ca="1">IFERROR(__xludf.DUMMYFUNCTION("GOOGLETRANSLATE(E443, ""ja"",""en"")"),"to season")</f>
        <v>to season</v>
      </c>
      <c r="G113" s="3"/>
    </row>
    <row r="114" spans="1:7">
      <c r="A114" s="81"/>
      <c r="B114" s="31" t="s">
        <v>83</v>
      </c>
      <c r="C114" s="32" t="s">
        <v>39</v>
      </c>
      <c r="D114" s="23" t="s">
        <v>498</v>
      </c>
      <c r="E114" s="20" t="s">
        <v>499</v>
      </c>
      <c r="F114" s="33" t="s">
        <v>3623</v>
      </c>
      <c r="G114" s="3"/>
    </row>
    <row r="115" spans="1:7">
      <c r="A115" s="81"/>
      <c r="B115" s="31" t="s">
        <v>83</v>
      </c>
      <c r="C115" s="32" t="s">
        <v>39</v>
      </c>
      <c r="D115" s="22" t="s">
        <v>500</v>
      </c>
      <c r="E115" s="16" t="s">
        <v>501</v>
      </c>
      <c r="F115" s="33" t="str">
        <f ca="1">IFERROR(__xludf.DUMMYFUNCTION("GOOGLETRANSLATE(E476, ""ja"",""en"")"),"prototype")</f>
        <v>prototype</v>
      </c>
      <c r="G115" s="3"/>
    </row>
    <row r="116" spans="1:7">
      <c r="A116" s="81"/>
      <c r="B116" s="31" t="s">
        <v>83</v>
      </c>
      <c r="C116" s="32" t="s">
        <v>43</v>
      </c>
      <c r="D116" s="22" t="s">
        <v>502</v>
      </c>
      <c r="E116" s="16" t="s">
        <v>3561</v>
      </c>
      <c r="F116" s="33" t="str">
        <f ca="1">IFERROR(__xludf.DUMMYFUNCTION("GOOGLETRANSLATE(E410, ""ja"",""en"")"),"at that time")</f>
        <v>at that time</v>
      </c>
      <c r="G116" s="3"/>
    </row>
    <row r="117" spans="1:7">
      <c r="A117" s="81"/>
      <c r="B117" s="31" t="s">
        <v>83</v>
      </c>
      <c r="C117" s="32" t="s">
        <v>43</v>
      </c>
      <c r="D117" s="23" t="s">
        <v>503</v>
      </c>
      <c r="E117" s="20" t="s">
        <v>377</v>
      </c>
      <c r="F117" s="33" t="s">
        <v>742</v>
      </c>
      <c r="G117" s="3"/>
    </row>
    <row r="118" spans="1:7">
      <c r="A118" s="81"/>
      <c r="B118" s="31" t="s">
        <v>83</v>
      </c>
      <c r="C118" s="32" t="s">
        <v>43</v>
      </c>
      <c r="D118" s="22" t="s">
        <v>504</v>
      </c>
      <c r="E118" s="16" t="s">
        <v>3562</v>
      </c>
      <c r="F118" s="33" t="str">
        <f ca="1">IFERROR(__xludf.DUMMYFUNCTION("GOOGLETRANSLATE(E445, ""ja"",""en"")"),"familiarity")</f>
        <v>familiarity</v>
      </c>
      <c r="G118" s="3"/>
    </row>
    <row r="119" spans="1:7">
      <c r="A119" s="81"/>
      <c r="B119" s="31" t="s">
        <v>83</v>
      </c>
      <c r="C119" s="32" t="s">
        <v>43</v>
      </c>
      <c r="D119" s="23" t="s">
        <v>1012</v>
      </c>
      <c r="E119" s="20" t="s">
        <v>1013</v>
      </c>
      <c r="F119" s="33" t="s">
        <v>1011</v>
      </c>
      <c r="G119" s="3"/>
    </row>
    <row r="120" spans="1:7">
      <c r="A120" s="81"/>
      <c r="B120" s="31" t="s">
        <v>83</v>
      </c>
      <c r="C120" s="32" t="s">
        <v>49</v>
      </c>
      <c r="D120" s="22" t="s">
        <v>505</v>
      </c>
      <c r="E120" s="16" t="s">
        <v>3563</v>
      </c>
      <c r="F120" s="33" t="str">
        <f ca="1">IFERROR(__xludf.DUMMYFUNCTION("GOOGLETRANSLATE(E515, ""ja"",""en"")"),"easy")</f>
        <v>easy</v>
      </c>
      <c r="G120" s="3"/>
    </row>
    <row r="121" spans="1:7">
      <c r="A121" s="81"/>
      <c r="B121" s="31" t="s">
        <v>83</v>
      </c>
      <c r="C121" s="32" t="s">
        <v>49</v>
      </c>
      <c r="D121" s="23" t="s">
        <v>506</v>
      </c>
      <c r="E121" s="24" t="s">
        <v>677</v>
      </c>
      <c r="F121" s="33" t="str">
        <f ca="1">IFERROR(__xludf.DUMMYFUNCTION("GOOGLETRANSLATE(E516, ""ja"",""en"")"),"gradually")</f>
        <v>gradually</v>
      </c>
      <c r="G121" s="4"/>
    </row>
    <row r="122" spans="1:7">
      <c r="A122" s="81"/>
      <c r="B122" s="31" t="s">
        <v>83</v>
      </c>
      <c r="C122" s="36" t="s">
        <v>54</v>
      </c>
      <c r="D122" s="23" t="s">
        <v>507</v>
      </c>
      <c r="E122" s="20" t="s">
        <v>508</v>
      </c>
      <c r="F122" s="33" t="s">
        <v>1014</v>
      </c>
      <c r="G122" s="4"/>
    </row>
    <row r="123" spans="1:7">
      <c r="A123" s="81"/>
      <c r="B123" s="31" t="s">
        <v>83</v>
      </c>
      <c r="C123" s="36" t="s">
        <v>54</v>
      </c>
      <c r="D123" s="23" t="s">
        <v>1015</v>
      </c>
      <c r="E123" s="20" t="s">
        <v>1016</v>
      </c>
      <c r="F123" s="33" t="s">
        <v>1017</v>
      </c>
      <c r="G123" s="4"/>
    </row>
    <row r="124" spans="1:7">
      <c r="A124" s="81"/>
      <c r="B124" s="31" t="s">
        <v>83</v>
      </c>
      <c r="C124" s="36" t="s">
        <v>54</v>
      </c>
      <c r="D124" s="22" t="s">
        <v>1018</v>
      </c>
      <c r="E124" s="16" t="s">
        <v>1019</v>
      </c>
      <c r="F124" s="33" t="s">
        <v>3624</v>
      </c>
      <c r="G124" s="4"/>
    </row>
    <row r="125" spans="1:7">
      <c r="A125" s="81"/>
      <c r="B125" s="31" t="s">
        <v>83</v>
      </c>
      <c r="C125" s="32" t="s">
        <v>54</v>
      </c>
      <c r="D125" s="22" t="s">
        <v>1020</v>
      </c>
      <c r="E125" s="16" t="s">
        <v>1021</v>
      </c>
      <c r="F125" s="33" t="str">
        <f ca="1">IFERROR(__xludf.DUMMYFUNCTION("GOOGLETRANSLATE(E475, ""ja"",""en"")"),"to cook")</f>
        <v>to cook</v>
      </c>
      <c r="G125" s="3"/>
    </row>
    <row r="126" spans="1:7">
      <c r="A126" s="81"/>
      <c r="B126" s="31" t="s">
        <v>83</v>
      </c>
      <c r="C126" s="32" t="s">
        <v>58</v>
      </c>
      <c r="D126" s="22" t="s">
        <v>509</v>
      </c>
      <c r="E126" s="16" t="s">
        <v>3564</v>
      </c>
      <c r="F126" s="33" t="s">
        <v>3608</v>
      </c>
      <c r="G126" s="4"/>
    </row>
    <row r="127" spans="1:7">
      <c r="A127" s="81"/>
      <c r="B127" s="31" t="s">
        <v>83</v>
      </c>
      <c r="C127" s="32" t="s">
        <v>58</v>
      </c>
      <c r="D127" s="22" t="s">
        <v>510</v>
      </c>
      <c r="E127" s="20" t="s">
        <v>511</v>
      </c>
      <c r="F127" s="33" t="str">
        <f ca="1">IFERROR(__xludf.DUMMYFUNCTION("GOOGLETRANSLATE(E452, ""ja"",""en"")"),"curry and rice")</f>
        <v>curry and rice</v>
      </c>
      <c r="G127" s="3"/>
    </row>
    <row r="128" spans="1:7">
      <c r="A128" s="81"/>
      <c r="B128" s="31" t="s">
        <v>83</v>
      </c>
      <c r="C128" s="32" t="s">
        <v>60</v>
      </c>
      <c r="D128" s="22" t="s">
        <v>512</v>
      </c>
      <c r="E128" s="16" t="s">
        <v>392</v>
      </c>
      <c r="F128" s="33" t="str">
        <f ca="1">IFERROR(__xludf.DUMMYFUNCTION("GOOGLETRANSLATE(E419, ""ja"",""en"")"),"popular")</f>
        <v>popular</v>
      </c>
      <c r="G128" s="3"/>
    </row>
    <row r="129" spans="1:7">
      <c r="A129" s="81"/>
      <c r="B129" s="31" t="s">
        <v>83</v>
      </c>
      <c r="C129" s="32" t="s">
        <v>60</v>
      </c>
      <c r="D129" s="22" t="s">
        <v>513</v>
      </c>
      <c r="E129" s="16" t="s">
        <v>2976</v>
      </c>
      <c r="F129" s="33" t="str">
        <f ca="1">IFERROR(__xludf.DUMMYFUNCTION("GOOGLETRANSLATE(E453, ""ja"",""en"")"),"croquette")</f>
        <v>croquette</v>
      </c>
      <c r="G129" s="3"/>
    </row>
    <row r="130" spans="1:7">
      <c r="A130" s="81"/>
      <c r="B130" s="31" t="s">
        <v>83</v>
      </c>
      <c r="C130" s="32" t="s">
        <v>60</v>
      </c>
      <c r="D130" s="22" t="s">
        <v>514</v>
      </c>
      <c r="E130" s="16" t="s">
        <v>3565</v>
      </c>
      <c r="F130" s="33" t="str">
        <f ca="1">IFERROR(__xludf.DUMMYFUNCTION("GOOGLETRANSLATE(E477, ""ja"",""en"")"),"pork cutlet")</f>
        <v>pork cutlet</v>
      </c>
      <c r="G130" s="3"/>
    </row>
    <row r="131" spans="1:7">
      <c r="A131" s="81"/>
      <c r="B131" s="31" t="s">
        <v>83</v>
      </c>
      <c r="C131" s="32" t="s">
        <v>60</v>
      </c>
      <c r="D131" s="23" t="s">
        <v>1022</v>
      </c>
      <c r="E131" s="24" t="s">
        <v>1023</v>
      </c>
      <c r="F131" s="33" t="s">
        <v>1024</v>
      </c>
      <c r="G131" s="3"/>
    </row>
    <row r="132" spans="1:7">
      <c r="A132" s="81"/>
      <c r="B132" s="31" t="s">
        <v>83</v>
      </c>
      <c r="C132" s="32" t="s">
        <v>66</v>
      </c>
      <c r="D132" s="22" t="s">
        <v>515</v>
      </c>
      <c r="E132" s="16" t="s">
        <v>3566</v>
      </c>
      <c r="F132" s="33" t="str">
        <f ca="1">IFERROR(__xludf.DUMMYFUNCTION("GOOGLETRANSLATE(E455, ""ja"",""en"")"),"India")</f>
        <v>India</v>
      </c>
      <c r="G132" s="3"/>
    </row>
    <row r="133" spans="1:7">
      <c r="A133" s="81"/>
      <c r="B133" s="31" t="s">
        <v>83</v>
      </c>
      <c r="C133" s="32" t="s">
        <v>66</v>
      </c>
      <c r="D133" s="22" t="s">
        <v>516</v>
      </c>
      <c r="E133" s="16" t="s">
        <v>3567</v>
      </c>
      <c r="F133" s="33" t="str">
        <f ca="1">IFERROR(__xludf.DUMMYFUNCTION("GOOGLETRANSLATE(E456, ""ja"",""en"")"),"England")</f>
        <v>England</v>
      </c>
      <c r="G133" s="3"/>
    </row>
    <row r="134" spans="1:7">
      <c r="A134" s="81"/>
      <c r="B134" s="31" t="s">
        <v>83</v>
      </c>
      <c r="C134" s="32" t="s">
        <v>66</v>
      </c>
      <c r="D134" s="22" t="s">
        <v>1025</v>
      </c>
      <c r="E134" s="16" t="s">
        <v>1026</v>
      </c>
      <c r="F134" s="20" t="s">
        <v>1029</v>
      </c>
      <c r="G134" s="4"/>
    </row>
    <row r="135" spans="1:7">
      <c r="A135" s="81"/>
      <c r="B135" s="31" t="s">
        <v>83</v>
      </c>
      <c r="C135" s="32" t="s">
        <v>68</v>
      </c>
      <c r="D135" s="22" t="s">
        <v>517</v>
      </c>
      <c r="E135" s="16" t="s">
        <v>3568</v>
      </c>
      <c r="F135" s="33" t="s">
        <v>3625</v>
      </c>
      <c r="G135" s="3"/>
    </row>
    <row r="136" spans="1:7">
      <c r="A136" s="81"/>
      <c r="B136" s="31" t="s">
        <v>83</v>
      </c>
      <c r="C136" s="32" t="s">
        <v>68</v>
      </c>
      <c r="D136" s="22" t="s">
        <v>1027</v>
      </c>
      <c r="E136" s="16" t="s">
        <v>1028</v>
      </c>
      <c r="F136" s="33" t="s">
        <v>1030</v>
      </c>
      <c r="G136" s="4"/>
    </row>
    <row r="137" spans="1:7">
      <c r="A137" s="81"/>
      <c r="B137" s="31" t="s">
        <v>83</v>
      </c>
      <c r="C137" s="32" t="s">
        <v>68</v>
      </c>
      <c r="D137" s="22" t="s">
        <v>518</v>
      </c>
      <c r="E137" s="16" t="s">
        <v>3569</v>
      </c>
      <c r="F137" s="33" t="s">
        <v>3626</v>
      </c>
      <c r="G137" s="3"/>
    </row>
    <row r="138" spans="1:7">
      <c r="A138" s="81"/>
      <c r="B138" s="31" t="s">
        <v>83</v>
      </c>
      <c r="C138" s="36" t="s">
        <v>68</v>
      </c>
      <c r="D138" s="22" t="s">
        <v>519</v>
      </c>
      <c r="E138" s="16" t="s">
        <v>3570</v>
      </c>
      <c r="F138" s="33" t="s">
        <v>1116</v>
      </c>
      <c r="G138" s="3"/>
    </row>
    <row r="139" spans="1:7">
      <c r="A139" s="81"/>
      <c r="B139" s="31" t="s">
        <v>83</v>
      </c>
      <c r="C139" s="36" t="s">
        <v>68</v>
      </c>
      <c r="D139" s="22" t="s">
        <v>520</v>
      </c>
      <c r="E139" s="16" t="s">
        <v>521</v>
      </c>
      <c r="F139" s="33" t="str">
        <f ca="1">IFERROR(__xludf.DUMMYFUNCTION("GOOGLETRANSLATE(E460, ""ja"",""en"")"),"Japanese leek")</f>
        <v>Japanese leek</v>
      </c>
      <c r="G139" s="3"/>
    </row>
    <row r="140" spans="1:7">
      <c r="A140" s="81"/>
      <c r="B140" s="31" t="s">
        <v>83</v>
      </c>
      <c r="C140" s="36" t="s">
        <v>179</v>
      </c>
      <c r="D140" s="22" t="s">
        <v>522</v>
      </c>
      <c r="E140" s="16" t="s">
        <v>3571</v>
      </c>
      <c r="F140" s="20" t="s">
        <v>1031</v>
      </c>
      <c r="G140" s="4"/>
    </row>
    <row r="141" spans="1:7">
      <c r="A141" s="81"/>
      <c r="B141" s="31" t="s">
        <v>83</v>
      </c>
      <c r="C141" s="36" t="s">
        <v>179</v>
      </c>
      <c r="D141" s="22" t="s">
        <v>523</v>
      </c>
      <c r="E141" s="16" t="s">
        <v>3572</v>
      </c>
      <c r="F141" s="33" t="str">
        <f ca="1">IFERROR(__xludf.DUMMYFUNCTION("GOOGLETRANSLATE(E462, ""ja"",""en"")"),"frog")</f>
        <v>frog</v>
      </c>
      <c r="G141" s="3"/>
    </row>
    <row r="142" spans="1:7">
      <c r="A142" s="81"/>
      <c r="B142" s="31" t="s">
        <v>83</v>
      </c>
      <c r="C142" s="36" t="s">
        <v>179</v>
      </c>
      <c r="D142" s="23" t="s">
        <v>524</v>
      </c>
      <c r="E142" s="20" t="s">
        <v>524</v>
      </c>
      <c r="F142" s="33" t="s">
        <v>1032</v>
      </c>
      <c r="G142" s="3"/>
    </row>
    <row r="143" spans="1:7">
      <c r="A143" s="81"/>
      <c r="B143" s="31" t="s">
        <v>83</v>
      </c>
      <c r="C143" s="36" t="s">
        <v>179</v>
      </c>
      <c r="D143" s="22" t="s">
        <v>525</v>
      </c>
      <c r="E143" s="16" t="s">
        <v>3573</v>
      </c>
      <c r="F143" s="33" t="s">
        <v>3627</v>
      </c>
      <c r="G143" s="3"/>
    </row>
    <row r="144" spans="1:7">
      <c r="A144" s="81"/>
      <c r="B144" s="31" t="s">
        <v>83</v>
      </c>
      <c r="C144" s="32" t="s">
        <v>73</v>
      </c>
      <c r="D144" s="23" t="s">
        <v>714</v>
      </c>
      <c r="E144" s="20" t="s">
        <v>715</v>
      </c>
      <c r="F144" s="33" t="s">
        <v>1033</v>
      </c>
      <c r="G144" s="3"/>
    </row>
    <row r="145" spans="1:7">
      <c r="A145" s="81"/>
      <c r="B145" s="31" t="s">
        <v>83</v>
      </c>
      <c r="C145" s="32" t="s">
        <v>73</v>
      </c>
      <c r="D145" s="23" t="s">
        <v>526</v>
      </c>
      <c r="E145" s="20" t="s">
        <v>527</v>
      </c>
      <c r="F145" s="33" t="s">
        <v>1034</v>
      </c>
      <c r="G145" s="3"/>
    </row>
    <row r="146" spans="1:7">
      <c r="A146" s="81"/>
      <c r="B146" s="31" t="s">
        <v>83</v>
      </c>
      <c r="C146" s="36" t="s">
        <v>73</v>
      </c>
      <c r="D146" s="22" t="s">
        <v>1035</v>
      </c>
      <c r="E146" s="16" t="s">
        <v>1036</v>
      </c>
      <c r="F146" s="33" t="str">
        <f ca="1">IFERROR(__xludf.DUMMYFUNCTION("GOOGLETRANSLATE(E464, ""ja"",""en"")"),"to produce")</f>
        <v>to produce</v>
      </c>
      <c r="G146" s="3"/>
    </row>
    <row r="147" spans="1:7">
      <c r="A147" s="81"/>
      <c r="B147" s="31" t="s">
        <v>83</v>
      </c>
      <c r="C147" s="36" t="s">
        <v>186</v>
      </c>
      <c r="D147" s="23" t="s">
        <v>528</v>
      </c>
      <c r="E147" s="16" t="s">
        <v>3574</v>
      </c>
      <c r="F147" s="33" t="str">
        <f ca="1">IFERROR(__xludf.DUMMYFUNCTION("GOOGLETRANSLATE(E465, ""ja"",""en"")"),"spicy")</f>
        <v>spicy</v>
      </c>
      <c r="G147" s="3"/>
    </row>
    <row r="148" spans="1:7">
      <c r="A148" s="81"/>
      <c r="B148" s="31" t="s">
        <v>83</v>
      </c>
      <c r="C148" s="36" t="s">
        <v>186</v>
      </c>
      <c r="D148" s="23" t="s">
        <v>529</v>
      </c>
      <c r="E148" s="16" t="s">
        <v>3575</v>
      </c>
      <c r="F148" s="33" t="s">
        <v>1039</v>
      </c>
      <c r="G148" s="3"/>
    </row>
    <row r="149" spans="1:7">
      <c r="A149" s="81"/>
      <c r="B149" s="31" t="s">
        <v>83</v>
      </c>
      <c r="C149" s="36" t="s">
        <v>186</v>
      </c>
      <c r="D149" s="23" t="s">
        <v>1037</v>
      </c>
      <c r="E149" s="20" t="s">
        <v>1038</v>
      </c>
      <c r="F149" s="33" t="s">
        <v>695</v>
      </c>
      <c r="G149" s="3"/>
    </row>
    <row r="150" spans="1:7">
      <c r="A150" s="81"/>
      <c r="B150" s="31" t="s">
        <v>83</v>
      </c>
      <c r="C150" s="36" t="s">
        <v>76</v>
      </c>
      <c r="D150" s="23" t="s">
        <v>378</v>
      </c>
      <c r="E150" s="20" t="s">
        <v>379</v>
      </c>
      <c r="F150" s="33" t="s">
        <v>902</v>
      </c>
      <c r="G150" s="3"/>
    </row>
    <row r="151" spans="1:7">
      <c r="A151" s="81"/>
      <c r="B151" s="31" t="s">
        <v>83</v>
      </c>
      <c r="C151" s="36" t="s">
        <v>194</v>
      </c>
      <c r="D151" s="23" t="s">
        <v>530</v>
      </c>
      <c r="E151" s="20" t="s">
        <v>531</v>
      </c>
      <c r="F151" s="33" t="s">
        <v>1040</v>
      </c>
      <c r="G151" s="47"/>
    </row>
    <row r="152" spans="1:7">
      <c r="A152" s="81"/>
      <c r="B152" s="31" t="s">
        <v>83</v>
      </c>
      <c r="C152" s="36" t="s">
        <v>194</v>
      </c>
      <c r="D152" s="23" t="s">
        <v>532</v>
      </c>
      <c r="E152" s="20" t="s">
        <v>533</v>
      </c>
      <c r="F152" s="33" t="s">
        <v>1041</v>
      </c>
      <c r="G152" s="47"/>
    </row>
    <row r="153" spans="1:7">
      <c r="A153" s="81"/>
      <c r="B153" s="31" t="s">
        <v>83</v>
      </c>
      <c r="C153" s="36" t="s">
        <v>194</v>
      </c>
      <c r="D153" s="23" t="s">
        <v>1042</v>
      </c>
      <c r="E153" s="16" t="s">
        <v>1043</v>
      </c>
      <c r="F153" s="33" t="str">
        <f ca="1">IFERROR(__xludf.DUMMYFUNCTION("GOOGLETRANSLATE(E532, ""ja"",""en"")"),"with")</f>
        <v>with</v>
      </c>
      <c r="G153" s="3"/>
    </row>
    <row r="154" spans="1:7">
      <c r="A154" s="81"/>
      <c r="B154" s="31" t="s">
        <v>83</v>
      </c>
      <c r="C154" s="36" t="s">
        <v>194</v>
      </c>
      <c r="D154" s="22" t="s">
        <v>1044</v>
      </c>
      <c r="E154" s="16" t="s">
        <v>1045</v>
      </c>
      <c r="F154" s="33" t="s">
        <v>1046</v>
      </c>
      <c r="G154" s="47"/>
    </row>
    <row r="155" spans="1:7">
      <c r="A155" s="81"/>
      <c r="B155" s="31" t="s">
        <v>83</v>
      </c>
      <c r="C155" s="36" t="s">
        <v>197</v>
      </c>
      <c r="D155" s="22" t="s">
        <v>1047</v>
      </c>
      <c r="E155" s="16" t="s">
        <v>1048</v>
      </c>
      <c r="F155" s="33" t="str">
        <f ca="1">IFERROR(__xludf.DUMMYFUNCTION("GOOGLETRANSLATE(E534, ""ja"",""en"")"),"to compare")</f>
        <v>to compare</v>
      </c>
      <c r="G155" s="3"/>
    </row>
    <row r="156" spans="1:7">
      <c r="A156" s="81"/>
      <c r="B156" s="31" t="s">
        <v>83</v>
      </c>
      <c r="C156" s="36" t="s">
        <v>197</v>
      </c>
      <c r="D156" s="22" t="s">
        <v>536</v>
      </c>
      <c r="E156" s="16" t="s">
        <v>537</v>
      </c>
      <c r="F156" s="33" t="str">
        <f ca="1">IFERROR(__xludf.DUMMYFUNCTION("GOOGLETRANSLATE(E536, ""ja"",""en"")"),"difference")</f>
        <v>difference</v>
      </c>
      <c r="G156" s="3"/>
    </row>
    <row r="157" spans="1:7">
      <c r="A157" s="81"/>
      <c r="B157" s="31" t="s">
        <v>83</v>
      </c>
      <c r="C157" s="36" t="s">
        <v>204</v>
      </c>
      <c r="D157" s="22" t="s">
        <v>534</v>
      </c>
      <c r="E157" s="16" t="s">
        <v>535</v>
      </c>
      <c r="F157" s="20" t="s">
        <v>1049</v>
      </c>
      <c r="G157" s="3"/>
    </row>
    <row r="158" spans="1:7">
      <c r="A158" s="81"/>
      <c r="B158" s="31" t="s">
        <v>83</v>
      </c>
      <c r="C158" s="36" t="s">
        <v>204</v>
      </c>
      <c r="D158" s="22" t="s">
        <v>538</v>
      </c>
      <c r="E158" s="16" t="s">
        <v>1554</v>
      </c>
      <c r="F158" s="33" t="s">
        <v>1481</v>
      </c>
      <c r="G158" s="3"/>
    </row>
    <row r="159" spans="1:7">
      <c r="A159" s="81"/>
      <c r="B159" s="31" t="s">
        <v>83</v>
      </c>
      <c r="C159" s="36" t="s">
        <v>204</v>
      </c>
      <c r="D159" s="23" t="s">
        <v>539</v>
      </c>
      <c r="E159" s="20" t="s">
        <v>540</v>
      </c>
      <c r="F159" s="33" t="s">
        <v>1052</v>
      </c>
      <c r="G159" s="3"/>
    </row>
    <row r="160" spans="1:7">
      <c r="A160" s="81"/>
      <c r="B160" s="31" t="s">
        <v>83</v>
      </c>
      <c r="C160" s="36" t="s">
        <v>204</v>
      </c>
      <c r="D160" s="23" t="s">
        <v>1050</v>
      </c>
      <c r="E160" s="16" t="s">
        <v>1051</v>
      </c>
      <c r="F160" s="33" t="str">
        <f ca="1">IFERROR(__xludf.DUMMYFUNCTION("GOOGLETRANSLATE(E468, ""ja"",""en"")"),"to fuse")</f>
        <v>to fuse</v>
      </c>
      <c r="G160" s="4"/>
    </row>
    <row r="161" spans="1:7">
      <c r="A161" s="81"/>
      <c r="B161" s="31" t="s">
        <v>83</v>
      </c>
      <c r="C161" s="36" t="s">
        <v>204</v>
      </c>
      <c r="D161" s="22" t="s">
        <v>542</v>
      </c>
      <c r="E161" s="16" t="s">
        <v>3576</v>
      </c>
      <c r="F161" s="20" t="s">
        <v>1374</v>
      </c>
      <c r="G161" s="4"/>
    </row>
    <row r="162" spans="1:7">
      <c r="A162" s="81"/>
      <c r="B162" s="31" t="s">
        <v>83</v>
      </c>
      <c r="C162" s="36" t="s">
        <v>204</v>
      </c>
      <c r="D162" s="23" t="s">
        <v>1053</v>
      </c>
      <c r="E162" s="20" t="s">
        <v>1054</v>
      </c>
      <c r="F162" s="20" t="s">
        <v>934</v>
      </c>
      <c r="G162" s="4"/>
    </row>
    <row r="163" spans="1:7">
      <c r="A163" s="81"/>
      <c r="B163" s="31" t="s">
        <v>83</v>
      </c>
      <c r="C163" s="36" t="s">
        <v>204</v>
      </c>
      <c r="D163" s="22" t="s">
        <v>543</v>
      </c>
      <c r="E163" s="16" t="s">
        <v>544</v>
      </c>
      <c r="F163" s="33" t="str">
        <f ca="1">IFERROR(__xludf.DUMMYFUNCTION("GOOGLETRANSLATE(E540, ""ja"",""en"")"),"border")</f>
        <v>border</v>
      </c>
      <c r="G163" s="3"/>
    </row>
    <row r="164" spans="1:7">
      <c r="A164" s="81"/>
      <c r="B164" s="31" t="s">
        <v>83</v>
      </c>
      <c r="C164" s="36" t="s">
        <v>204</v>
      </c>
      <c r="D164" s="23" t="s">
        <v>1055</v>
      </c>
      <c r="E164" s="20" t="s">
        <v>1056</v>
      </c>
      <c r="F164" s="33" t="s">
        <v>1029</v>
      </c>
      <c r="G164" s="3"/>
    </row>
    <row r="165" spans="1:7">
      <c r="A165" s="81"/>
      <c r="B165" s="31" t="s">
        <v>83</v>
      </c>
      <c r="C165" s="36" t="s">
        <v>207</v>
      </c>
      <c r="D165" s="23" t="s">
        <v>545</v>
      </c>
      <c r="E165" s="20" t="s">
        <v>546</v>
      </c>
      <c r="F165" s="33" t="s">
        <v>1057</v>
      </c>
      <c r="G165" s="3"/>
    </row>
    <row r="166" spans="1:7">
      <c r="A166" s="81"/>
      <c r="B166" s="31" t="s">
        <v>83</v>
      </c>
      <c r="C166" s="36" t="s">
        <v>207</v>
      </c>
      <c r="D166" s="23" t="s">
        <v>547</v>
      </c>
      <c r="E166" s="20" t="s">
        <v>1059</v>
      </c>
      <c r="F166" s="33" t="s">
        <v>1058</v>
      </c>
      <c r="G166" s="47"/>
    </row>
    <row r="167" spans="1:7">
      <c r="A167" s="81"/>
      <c r="B167" s="31" t="s">
        <v>83</v>
      </c>
      <c r="C167" s="36" t="s">
        <v>207</v>
      </c>
      <c r="D167" s="22" t="s">
        <v>548</v>
      </c>
      <c r="E167" s="16" t="s">
        <v>549</v>
      </c>
      <c r="F167" s="33" t="str">
        <f ca="1">IFERROR(__xludf.DUMMYFUNCTION("GOOGLETRANSLATE(E542, ""ja"",""en"")"),"phenomenon")</f>
        <v>phenomenon</v>
      </c>
      <c r="G167" s="3"/>
    </row>
    <row r="168" spans="1:7">
      <c r="A168" s="81"/>
      <c r="B168" s="31" t="s">
        <v>83</v>
      </c>
      <c r="C168" s="36" t="s">
        <v>207</v>
      </c>
      <c r="D168" s="22" t="s">
        <v>550</v>
      </c>
      <c r="E168" s="16" t="s">
        <v>551</v>
      </c>
      <c r="F168" s="33" t="str">
        <f ca="1">IFERROR(__xludf.DUMMYFUNCTION("GOOGLETRANSLATE(E543, ""ja"",""en"")"),"actually")</f>
        <v>actually</v>
      </c>
      <c r="G168" s="3"/>
    </row>
    <row r="169" spans="1:7">
      <c r="A169" s="81"/>
      <c r="B169" s="31" t="s">
        <v>83</v>
      </c>
      <c r="C169" s="36" t="s">
        <v>541</v>
      </c>
      <c r="D169" s="22" t="s">
        <v>552</v>
      </c>
      <c r="E169" s="16" t="s">
        <v>1060</v>
      </c>
      <c r="F169" s="33" t="str">
        <f ca="1">IFERROR(__xludf.DUMMYFUNCTION("GOOGLETRANSLATE(E472, ""ja"",""en"")"),"predecessor")</f>
        <v>predecessor</v>
      </c>
      <c r="G169" s="3"/>
    </row>
    <row r="170" spans="1:7">
      <c r="A170" s="81"/>
      <c r="B170" s="31" t="s">
        <v>83</v>
      </c>
      <c r="C170" s="36" t="s">
        <v>541</v>
      </c>
      <c r="D170" s="22" t="s">
        <v>553</v>
      </c>
      <c r="E170" s="16" t="s">
        <v>3577</v>
      </c>
      <c r="F170" s="33" t="str">
        <f ca="1">IFERROR(__xludf.DUMMYFUNCTION("GOOGLETRANSLATE(E544, ""ja"",""en"")"),"wisdom")</f>
        <v>wisdom</v>
      </c>
      <c r="G170" s="3"/>
    </row>
    <row r="171" spans="1:7">
      <c r="A171" s="82"/>
      <c r="B171" s="31" t="s">
        <v>83</v>
      </c>
      <c r="C171" s="36" t="s">
        <v>541</v>
      </c>
      <c r="D171" s="22" t="s">
        <v>554</v>
      </c>
      <c r="E171" s="16" t="s">
        <v>3578</v>
      </c>
      <c r="F171" s="33" t="str">
        <f ca="1">IFERROR(__xludf.DUMMYFUNCTION("GOOGLETRANSLATE(E545, ""ja"",""en"")"),"possibility")</f>
        <v>possibility</v>
      </c>
      <c r="G171" s="3"/>
    </row>
  </sheetData>
  <autoFilter ref="A1:G171" xr:uid="{48D35867-88DC-4833-882E-F6FC795F49AD}"/>
  <mergeCells count="1">
    <mergeCell ref="A2:A171"/>
  </mergeCells>
  <phoneticPr fontId="2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0C52-BC2C-4958-89E2-CEADBCF590DF}">
  <dimension ref="A1:H173"/>
  <sheetViews>
    <sheetView zoomScale="110" zoomScaleNormal="110" workbookViewId="0">
      <pane ySplit="1" topLeftCell="A2" activePane="bottomLeft" state="frozen"/>
      <selection pane="bottomLeft" activeCell="H25" sqref="H25"/>
    </sheetView>
  </sheetViews>
  <sheetFormatPr baseColWidth="10" defaultColWidth="11.28515625" defaultRowHeight="20"/>
  <cols>
    <col min="1" max="1" width="6.5703125" style="2" customWidth="1"/>
    <col min="2" max="2" width="8.28515625" style="2" customWidth="1"/>
    <col min="3" max="3" width="9.7109375" style="2" customWidth="1"/>
    <col min="4" max="5" width="19.7109375" style="2" customWidth="1"/>
    <col min="6" max="6" width="30" style="2" customWidth="1"/>
    <col min="7" max="7" width="15.140625" style="2" customWidth="1"/>
    <col min="8" max="8" width="11.28515625" style="52"/>
    <col min="9" max="16384" width="11.28515625" style="2"/>
  </cols>
  <sheetData>
    <row r="1" spans="1:7" s="10" customFormat="1" ht="16">
      <c r="A1" s="11" t="s">
        <v>0</v>
      </c>
      <c r="B1" s="11" t="s">
        <v>1</v>
      </c>
      <c r="C1" s="12" t="s">
        <v>3747</v>
      </c>
      <c r="D1" s="11" t="s">
        <v>3740</v>
      </c>
      <c r="E1" s="11" t="s">
        <v>3741</v>
      </c>
      <c r="F1" s="11" t="s">
        <v>3742</v>
      </c>
    </row>
    <row r="2" spans="1:7" ht="21">
      <c r="A2" s="83" t="s">
        <v>555</v>
      </c>
      <c r="B2" s="59" t="s">
        <v>5</v>
      </c>
      <c r="C2" s="60" t="s">
        <v>209</v>
      </c>
      <c r="D2" s="61" t="s">
        <v>556</v>
      </c>
      <c r="E2" s="61" t="s">
        <v>3504</v>
      </c>
      <c r="F2" s="62" t="s">
        <v>1058</v>
      </c>
      <c r="G2" s="51"/>
    </row>
    <row r="3" spans="1:7" ht="21">
      <c r="A3" s="84"/>
      <c r="B3" s="59" t="s">
        <v>5</v>
      </c>
      <c r="C3" s="60" t="s">
        <v>209</v>
      </c>
      <c r="D3" s="63" t="s">
        <v>557</v>
      </c>
      <c r="E3" s="63" t="s">
        <v>1497</v>
      </c>
      <c r="F3" s="62" t="s">
        <v>1483</v>
      </c>
      <c r="G3" s="51"/>
    </row>
    <row r="4" spans="1:7" ht="21">
      <c r="A4" s="84"/>
      <c r="B4" s="59" t="s">
        <v>8</v>
      </c>
      <c r="C4" s="60" t="s">
        <v>209</v>
      </c>
      <c r="D4" s="63" t="s">
        <v>558</v>
      </c>
      <c r="E4" s="63" t="s">
        <v>1498</v>
      </c>
      <c r="F4" s="62" t="str">
        <f ca="1">IFERROR(__xludf.DUMMYFUNCTION("GOOGLETRANSLATE(E570, ""ja"",""en"")"),"noodles")</f>
        <v>noodles</v>
      </c>
      <c r="G4" s="51"/>
    </row>
    <row r="5" spans="1:7" ht="21">
      <c r="A5" s="84"/>
      <c r="B5" s="59" t="s">
        <v>8</v>
      </c>
      <c r="C5" s="60" t="s">
        <v>6</v>
      </c>
      <c r="D5" s="61" t="s">
        <v>559</v>
      </c>
      <c r="E5" s="64" t="s">
        <v>1499</v>
      </c>
      <c r="F5" s="62" t="s">
        <v>1061</v>
      </c>
      <c r="G5" s="51"/>
    </row>
    <row r="6" spans="1:7" ht="21">
      <c r="A6" s="84"/>
      <c r="B6" s="59" t="s">
        <v>8</v>
      </c>
      <c r="C6" s="60" t="s">
        <v>6</v>
      </c>
      <c r="D6" s="61" t="s">
        <v>560</v>
      </c>
      <c r="E6" s="64" t="s">
        <v>1500</v>
      </c>
      <c r="F6" s="62" t="s">
        <v>701</v>
      </c>
      <c r="G6" s="51"/>
    </row>
    <row r="7" spans="1:7" ht="21">
      <c r="A7" s="84"/>
      <c r="B7" s="59" t="s">
        <v>8</v>
      </c>
      <c r="C7" s="65" t="s">
        <v>12</v>
      </c>
      <c r="D7" s="61" t="s">
        <v>561</v>
      </c>
      <c r="E7" s="64" t="s">
        <v>3505</v>
      </c>
      <c r="F7" s="62" t="s">
        <v>1062</v>
      </c>
      <c r="G7" s="51"/>
    </row>
    <row r="8" spans="1:7" ht="21">
      <c r="A8" s="84"/>
      <c r="B8" s="59" t="s">
        <v>8</v>
      </c>
      <c r="C8" s="65" t="s">
        <v>12</v>
      </c>
      <c r="D8" s="61" t="s">
        <v>562</v>
      </c>
      <c r="E8" s="64" t="s">
        <v>1501</v>
      </c>
      <c r="F8" s="62" t="s">
        <v>3608</v>
      </c>
      <c r="G8" s="51"/>
    </row>
    <row r="9" spans="1:7" ht="21">
      <c r="A9" s="84"/>
      <c r="B9" s="59" t="s">
        <v>8</v>
      </c>
      <c r="C9" s="65" t="s">
        <v>12</v>
      </c>
      <c r="D9" s="61" t="s">
        <v>563</v>
      </c>
      <c r="E9" s="64" t="s">
        <v>1502</v>
      </c>
      <c r="F9" s="62" t="s">
        <v>1063</v>
      </c>
      <c r="G9" s="51"/>
    </row>
    <row r="10" spans="1:7" ht="21">
      <c r="A10" s="84"/>
      <c r="B10" s="59" t="s">
        <v>8</v>
      </c>
      <c r="C10" s="60" t="s">
        <v>18</v>
      </c>
      <c r="D10" s="63" t="s">
        <v>564</v>
      </c>
      <c r="E10" s="63" t="s">
        <v>1503</v>
      </c>
      <c r="F10" s="62" t="str">
        <f ca="1">IFERROR(__xludf.DUMMYFUNCTION("GOOGLETRANSLATE(E591, ""ja"",""en"")"),"whole country")</f>
        <v>whole country</v>
      </c>
      <c r="G10" s="51"/>
    </row>
    <row r="11" spans="1:7" ht="21">
      <c r="A11" s="84"/>
      <c r="B11" s="59" t="s">
        <v>8</v>
      </c>
      <c r="C11" s="60" t="s">
        <v>18</v>
      </c>
      <c r="D11" s="61" t="s">
        <v>565</v>
      </c>
      <c r="E11" s="63" t="s">
        <v>1504</v>
      </c>
      <c r="F11" s="62" t="s">
        <v>1484</v>
      </c>
      <c r="G11" s="51"/>
    </row>
    <row r="12" spans="1:7" ht="21">
      <c r="A12" s="84"/>
      <c r="B12" s="59" t="s">
        <v>8</v>
      </c>
      <c r="C12" s="60" t="s">
        <v>21</v>
      </c>
      <c r="D12" s="63" t="s">
        <v>566</v>
      </c>
      <c r="E12" s="63" t="s">
        <v>1505</v>
      </c>
      <c r="F12" s="62" t="str">
        <f ca="1">IFERROR(__xludf.DUMMYFUNCTION("GOOGLETRANSLATE(E593, ""ja"",""en"")"),"row")</f>
        <v>row</v>
      </c>
      <c r="G12" s="51"/>
    </row>
    <row r="13" spans="1:7" ht="21">
      <c r="A13" s="84"/>
      <c r="B13" s="59" t="s">
        <v>8</v>
      </c>
      <c r="C13" s="65" t="s">
        <v>23</v>
      </c>
      <c r="D13" s="61" t="s">
        <v>567</v>
      </c>
      <c r="E13" s="61" t="s">
        <v>3506</v>
      </c>
      <c r="F13" s="62" t="s">
        <v>1064</v>
      </c>
      <c r="G13" s="51"/>
    </row>
    <row r="14" spans="1:7" ht="21">
      <c r="A14" s="84"/>
      <c r="B14" s="59" t="s">
        <v>8</v>
      </c>
      <c r="C14" s="60" t="s">
        <v>23</v>
      </c>
      <c r="D14" s="63" t="s">
        <v>568</v>
      </c>
      <c r="E14" s="63" t="s">
        <v>1506</v>
      </c>
      <c r="F14" s="62" t="s">
        <v>1065</v>
      </c>
      <c r="G14" s="51"/>
    </row>
    <row r="15" spans="1:7" ht="21">
      <c r="A15" s="84"/>
      <c r="B15" s="59" t="s">
        <v>8</v>
      </c>
      <c r="C15" s="60" t="s">
        <v>27</v>
      </c>
      <c r="D15" s="63" t="s">
        <v>569</v>
      </c>
      <c r="E15" s="61" t="s">
        <v>1485</v>
      </c>
      <c r="F15" s="62" t="s">
        <v>1412</v>
      </c>
      <c r="G15" s="51"/>
    </row>
    <row r="16" spans="1:7" ht="21">
      <c r="A16" s="84"/>
      <c r="B16" s="59" t="s">
        <v>8</v>
      </c>
      <c r="C16" s="60" t="s">
        <v>27</v>
      </c>
      <c r="D16" s="63" t="s">
        <v>570</v>
      </c>
      <c r="E16" s="63" t="s">
        <v>1507</v>
      </c>
      <c r="F16" s="62" t="str">
        <f ca="1">IFERROR(__xludf.DUMMYFUNCTION("GOOGLETRANSLATE(E551, ""ja"",""en"")"),"topping")</f>
        <v>topping</v>
      </c>
      <c r="G16" s="51"/>
    </row>
    <row r="17" spans="1:7" ht="21">
      <c r="A17" s="84"/>
      <c r="B17" s="59" t="s">
        <v>8</v>
      </c>
      <c r="C17" s="65" t="s">
        <v>30</v>
      </c>
      <c r="D17" s="61" t="s">
        <v>1066</v>
      </c>
      <c r="E17" s="61" t="s">
        <v>1067</v>
      </c>
      <c r="F17" s="62" t="s">
        <v>1068</v>
      </c>
      <c r="G17" s="51"/>
    </row>
    <row r="18" spans="1:7" ht="21">
      <c r="A18" s="84"/>
      <c r="B18" s="59" t="s">
        <v>8</v>
      </c>
      <c r="C18" s="60" t="s">
        <v>238</v>
      </c>
      <c r="D18" s="63" t="s">
        <v>571</v>
      </c>
      <c r="E18" s="63" t="s">
        <v>1508</v>
      </c>
      <c r="F18" s="61" t="s">
        <v>1069</v>
      </c>
      <c r="G18" s="51"/>
    </row>
    <row r="19" spans="1:7" ht="21">
      <c r="A19" s="84"/>
      <c r="B19" s="59" t="s">
        <v>8</v>
      </c>
      <c r="C19" s="65" t="s">
        <v>34</v>
      </c>
      <c r="D19" s="61" t="s">
        <v>572</v>
      </c>
      <c r="E19" s="61" t="s">
        <v>1509</v>
      </c>
      <c r="F19" s="61" t="s">
        <v>1070</v>
      </c>
      <c r="G19" s="51"/>
    </row>
    <row r="20" spans="1:7" ht="21">
      <c r="A20" s="84"/>
      <c r="B20" s="59" t="s">
        <v>8</v>
      </c>
      <c r="C20" s="65" t="s">
        <v>34</v>
      </c>
      <c r="D20" s="61" t="s">
        <v>573</v>
      </c>
      <c r="E20" s="61" t="s">
        <v>1510</v>
      </c>
      <c r="F20" s="61" t="s">
        <v>930</v>
      </c>
      <c r="G20" s="51"/>
    </row>
    <row r="21" spans="1:7" ht="21">
      <c r="A21" s="84"/>
      <c r="B21" s="59" t="s">
        <v>8</v>
      </c>
      <c r="C21" s="65" t="s">
        <v>34</v>
      </c>
      <c r="D21" s="61" t="s">
        <v>574</v>
      </c>
      <c r="E21" s="61" t="s">
        <v>1511</v>
      </c>
      <c r="F21" s="61" t="s">
        <v>1071</v>
      </c>
      <c r="G21" s="51"/>
    </row>
    <row r="22" spans="1:7" ht="21">
      <c r="A22" s="84"/>
      <c r="B22" s="59" t="s">
        <v>8</v>
      </c>
      <c r="C22" s="60" t="s">
        <v>34</v>
      </c>
      <c r="D22" s="63" t="s">
        <v>575</v>
      </c>
      <c r="E22" s="63" t="s">
        <v>1512</v>
      </c>
      <c r="F22" s="62" t="s">
        <v>1072</v>
      </c>
      <c r="G22" s="51"/>
    </row>
    <row r="23" spans="1:7" ht="21">
      <c r="A23" s="84"/>
      <c r="B23" s="59" t="s">
        <v>8</v>
      </c>
      <c r="C23" s="65" t="s">
        <v>34</v>
      </c>
      <c r="D23" s="61" t="s">
        <v>287</v>
      </c>
      <c r="E23" s="61" t="s">
        <v>1513</v>
      </c>
      <c r="F23" s="62" t="s">
        <v>1073</v>
      </c>
      <c r="G23" s="51"/>
    </row>
    <row r="24" spans="1:7" ht="21">
      <c r="A24" s="84"/>
      <c r="B24" s="59" t="s">
        <v>8</v>
      </c>
      <c r="C24" s="65" t="s">
        <v>36</v>
      </c>
      <c r="D24" s="61" t="s">
        <v>492</v>
      </c>
      <c r="E24" s="61" t="s">
        <v>1514</v>
      </c>
      <c r="F24" s="62" t="s">
        <v>1074</v>
      </c>
      <c r="G24" s="51"/>
    </row>
    <row r="25" spans="1:7" ht="21">
      <c r="A25" s="84"/>
      <c r="B25" s="59" t="s">
        <v>8</v>
      </c>
      <c r="C25" s="65" t="s">
        <v>36</v>
      </c>
      <c r="D25" s="61" t="s">
        <v>576</v>
      </c>
      <c r="E25" s="61" t="s">
        <v>1515</v>
      </c>
      <c r="F25" s="62" t="s">
        <v>1075</v>
      </c>
      <c r="G25" s="51"/>
    </row>
    <row r="26" spans="1:7" ht="21">
      <c r="A26" s="84"/>
      <c r="B26" s="59" t="s">
        <v>8</v>
      </c>
      <c r="C26" s="65" t="s">
        <v>36</v>
      </c>
      <c r="D26" s="61" t="s">
        <v>577</v>
      </c>
      <c r="E26" s="61" t="s">
        <v>1516</v>
      </c>
      <c r="F26" s="62" t="s">
        <v>1076</v>
      </c>
      <c r="G26" s="51"/>
    </row>
    <row r="27" spans="1:7" ht="21">
      <c r="A27" s="84"/>
      <c r="B27" s="59" t="s">
        <v>8</v>
      </c>
      <c r="C27" s="60" t="s">
        <v>36</v>
      </c>
      <c r="D27" s="63" t="s">
        <v>578</v>
      </c>
      <c r="E27" s="63" t="s">
        <v>1517</v>
      </c>
      <c r="F27" s="62" t="str">
        <f ca="1">IFERROR(__xludf.DUMMYFUNCTION("GOOGLETRANSLATE(E555, ""ja"",""en"")"),"Asakusa")</f>
        <v>Asakusa</v>
      </c>
      <c r="G27" s="51"/>
    </row>
    <row r="28" spans="1:7" ht="21">
      <c r="A28" s="84"/>
      <c r="B28" s="59" t="s">
        <v>8</v>
      </c>
      <c r="C28" s="60" t="s">
        <v>39</v>
      </c>
      <c r="D28" s="63" t="s">
        <v>579</v>
      </c>
      <c r="E28" s="63" t="s">
        <v>1518</v>
      </c>
      <c r="F28" s="62" t="s">
        <v>1486</v>
      </c>
      <c r="G28" s="51"/>
    </row>
    <row r="29" spans="1:7" ht="21">
      <c r="A29" s="84"/>
      <c r="B29" s="59" t="s">
        <v>8</v>
      </c>
      <c r="C29" s="65" t="s">
        <v>39</v>
      </c>
      <c r="D29" s="61" t="s">
        <v>580</v>
      </c>
      <c r="E29" s="61" t="s">
        <v>1519</v>
      </c>
      <c r="F29" s="62" t="s">
        <v>1077</v>
      </c>
      <c r="G29" s="51"/>
    </row>
    <row r="30" spans="1:7" ht="21">
      <c r="A30" s="84"/>
      <c r="B30" s="59" t="s">
        <v>8</v>
      </c>
      <c r="C30" s="60" t="s">
        <v>43</v>
      </c>
      <c r="D30" s="63" t="s">
        <v>581</v>
      </c>
      <c r="E30" s="63" t="s">
        <v>1520</v>
      </c>
      <c r="F30" s="62" t="s">
        <v>1487</v>
      </c>
      <c r="G30" s="51"/>
    </row>
    <row r="31" spans="1:7" ht="21">
      <c r="A31" s="84"/>
      <c r="B31" s="59" t="s">
        <v>8</v>
      </c>
      <c r="C31" s="65" t="s">
        <v>49</v>
      </c>
      <c r="D31" s="61" t="s">
        <v>582</v>
      </c>
      <c r="E31" s="61" t="s">
        <v>1521</v>
      </c>
      <c r="F31" s="62" t="s">
        <v>1087</v>
      </c>
      <c r="G31" s="51"/>
    </row>
    <row r="32" spans="1:7" ht="21">
      <c r="A32" s="84"/>
      <c r="B32" s="59" t="s">
        <v>8</v>
      </c>
      <c r="C32" s="65" t="s">
        <v>49</v>
      </c>
      <c r="D32" s="61" t="s">
        <v>583</v>
      </c>
      <c r="E32" s="61" t="s">
        <v>1522</v>
      </c>
      <c r="F32" s="66" t="s">
        <v>1383</v>
      </c>
      <c r="G32" s="51"/>
    </row>
    <row r="33" spans="1:7" ht="21">
      <c r="A33" s="84"/>
      <c r="B33" s="59" t="s">
        <v>8</v>
      </c>
      <c r="C33" s="65" t="s">
        <v>49</v>
      </c>
      <c r="D33" s="61" t="s">
        <v>584</v>
      </c>
      <c r="E33" s="61" t="s">
        <v>1523</v>
      </c>
      <c r="F33" s="62" t="s">
        <v>1088</v>
      </c>
      <c r="G33" s="51"/>
    </row>
    <row r="34" spans="1:7" ht="21">
      <c r="A34" s="84"/>
      <c r="B34" s="59" t="s">
        <v>8</v>
      </c>
      <c r="C34" s="65" t="s">
        <v>54</v>
      </c>
      <c r="D34" s="63" t="s">
        <v>585</v>
      </c>
      <c r="E34" s="63" t="s">
        <v>1524</v>
      </c>
      <c r="F34" s="62" t="str">
        <f ca="1">IFERROR(__xludf.DUMMYFUNCTION("GOOGLETRANSLATE(E609, ""ja"",""en"")"),"status")</f>
        <v>status</v>
      </c>
      <c r="G34" s="51"/>
    </row>
    <row r="35" spans="1:7" ht="21">
      <c r="A35" s="84"/>
      <c r="B35" s="59" t="s">
        <v>8</v>
      </c>
      <c r="C35" s="65" t="s">
        <v>54</v>
      </c>
      <c r="D35" s="63" t="s">
        <v>1078</v>
      </c>
      <c r="E35" s="63" t="s">
        <v>1079</v>
      </c>
      <c r="F35" s="62" t="s">
        <v>1488</v>
      </c>
      <c r="G35" s="51"/>
    </row>
    <row r="36" spans="1:7" ht="21">
      <c r="A36" s="84"/>
      <c r="B36" s="59" t="s">
        <v>8</v>
      </c>
      <c r="C36" s="65" t="s">
        <v>58</v>
      </c>
      <c r="D36" s="61" t="s">
        <v>586</v>
      </c>
      <c r="E36" s="61" t="s">
        <v>1525</v>
      </c>
      <c r="F36" s="62" t="s">
        <v>1089</v>
      </c>
      <c r="G36" s="51"/>
    </row>
    <row r="37" spans="1:7" ht="21">
      <c r="A37" s="84"/>
      <c r="B37" s="59" t="s">
        <v>8</v>
      </c>
      <c r="C37" s="65" t="s">
        <v>58</v>
      </c>
      <c r="D37" s="61" t="s">
        <v>1080</v>
      </c>
      <c r="E37" s="61" t="s">
        <v>1081</v>
      </c>
      <c r="F37" s="62" t="s">
        <v>901</v>
      </c>
      <c r="G37" s="51"/>
    </row>
    <row r="38" spans="1:7" ht="21">
      <c r="A38" s="84"/>
      <c r="B38" s="59" t="s">
        <v>8</v>
      </c>
      <c r="C38" s="65" t="s">
        <v>58</v>
      </c>
      <c r="D38" s="63" t="s">
        <v>587</v>
      </c>
      <c r="E38" s="63" t="s">
        <v>1526</v>
      </c>
      <c r="F38" s="62" t="str">
        <f ca="1">IFERROR(__xludf.DUMMYFUNCTION("GOOGLETRANSLATE(E558, ""ja"",""en"")"),"now")</f>
        <v>now</v>
      </c>
      <c r="G38" s="51"/>
    </row>
    <row r="39" spans="1:7" ht="21">
      <c r="A39" s="84"/>
      <c r="B39" s="59" t="s">
        <v>8</v>
      </c>
      <c r="C39" s="65" t="s">
        <v>58</v>
      </c>
      <c r="D39" s="63" t="s">
        <v>588</v>
      </c>
      <c r="E39" s="63" t="s">
        <v>1527</v>
      </c>
      <c r="F39" s="62" t="str">
        <f ca="1">IFERROR(__xludf.DUMMYFUNCTION("GOOGLETRANSLATE(E611, ""ja"",""en"")"),"main")</f>
        <v>main</v>
      </c>
      <c r="G39" s="50"/>
    </row>
    <row r="40" spans="1:7" ht="21">
      <c r="A40" s="84"/>
      <c r="B40" s="59" t="s">
        <v>8</v>
      </c>
      <c r="C40" s="65" t="s">
        <v>58</v>
      </c>
      <c r="D40" s="61" t="s">
        <v>489</v>
      </c>
      <c r="E40" s="61" t="s">
        <v>1528</v>
      </c>
      <c r="F40" s="62" t="s">
        <v>1090</v>
      </c>
      <c r="G40" s="50"/>
    </row>
    <row r="41" spans="1:7" ht="21">
      <c r="A41" s="84"/>
      <c r="B41" s="59" t="s">
        <v>8</v>
      </c>
      <c r="C41" s="65" t="s">
        <v>58</v>
      </c>
      <c r="D41" s="63" t="s">
        <v>589</v>
      </c>
      <c r="E41" s="63" t="s">
        <v>1529</v>
      </c>
      <c r="F41" s="62" t="str">
        <f ca="1">IFERROR(__xludf.DUMMYFUNCTION("GOOGLETRANSLATE(E559, ""ja"",""en"")"),"surely")</f>
        <v>surely</v>
      </c>
      <c r="G41" s="51"/>
    </row>
    <row r="42" spans="1:7" ht="21">
      <c r="A42" s="84"/>
      <c r="B42" s="59" t="s">
        <v>8</v>
      </c>
      <c r="C42" s="65" t="s">
        <v>60</v>
      </c>
      <c r="D42" s="63" t="s">
        <v>1082</v>
      </c>
      <c r="E42" s="63" t="s">
        <v>1084</v>
      </c>
      <c r="F42" s="62" t="s">
        <v>1375</v>
      </c>
      <c r="G42" s="51"/>
    </row>
    <row r="43" spans="1:7" ht="21">
      <c r="A43" s="84"/>
      <c r="B43" s="59" t="s">
        <v>8</v>
      </c>
      <c r="C43" s="65" t="s">
        <v>60</v>
      </c>
      <c r="D43" s="61" t="s">
        <v>1083</v>
      </c>
      <c r="E43" s="61" t="s">
        <v>1085</v>
      </c>
      <c r="F43" s="62" t="s">
        <v>960</v>
      </c>
      <c r="G43" s="51"/>
    </row>
    <row r="44" spans="1:7" ht="21">
      <c r="A44" s="84"/>
      <c r="B44" s="59" t="s">
        <v>8</v>
      </c>
      <c r="C44" s="65" t="s">
        <v>60</v>
      </c>
      <c r="D44" s="63" t="s">
        <v>590</v>
      </c>
      <c r="E44" s="63" t="s">
        <v>1530</v>
      </c>
      <c r="F44" s="62" t="str">
        <f ca="1">IFERROR(__xludf.DUMMYFUNCTION("GOOGLETRANSLATE(E582, ""ja"",""en"")"),"background")</f>
        <v>background</v>
      </c>
      <c r="G44" s="51"/>
    </row>
    <row r="45" spans="1:7" ht="21">
      <c r="A45" s="84"/>
      <c r="B45" s="59" t="s">
        <v>8</v>
      </c>
      <c r="C45" s="65" t="s">
        <v>63</v>
      </c>
      <c r="D45" s="61" t="s">
        <v>591</v>
      </c>
      <c r="E45" s="63" t="s">
        <v>1531</v>
      </c>
      <c r="F45" s="62" t="s">
        <v>1091</v>
      </c>
      <c r="G45" s="51"/>
    </row>
    <row r="46" spans="1:7" ht="21">
      <c r="A46" s="84"/>
      <c r="B46" s="59" t="s">
        <v>8</v>
      </c>
      <c r="C46" s="65" t="s">
        <v>63</v>
      </c>
      <c r="D46" s="63" t="s">
        <v>592</v>
      </c>
      <c r="E46" s="63" t="s">
        <v>1532</v>
      </c>
      <c r="F46" s="62" t="str">
        <f ca="1">IFERROR(__xludf.DUMMYFUNCTION("GOOGLETRANSLATE(E583, ""ja"",""en"")"),"local")</f>
        <v>local</v>
      </c>
      <c r="G46" s="51"/>
    </row>
    <row r="47" spans="1:7" ht="21">
      <c r="A47" s="84"/>
      <c r="B47" s="59" t="s">
        <v>8</v>
      </c>
      <c r="C47" s="65" t="s">
        <v>63</v>
      </c>
      <c r="D47" s="63" t="s">
        <v>593</v>
      </c>
      <c r="E47" s="63" t="s">
        <v>1533</v>
      </c>
      <c r="F47" s="62" t="s">
        <v>1092</v>
      </c>
      <c r="G47" s="50"/>
    </row>
    <row r="48" spans="1:7" ht="21">
      <c r="A48" s="84"/>
      <c r="B48" s="59" t="s">
        <v>8</v>
      </c>
      <c r="C48" s="65" t="s">
        <v>63</v>
      </c>
      <c r="D48" s="61" t="s">
        <v>594</v>
      </c>
      <c r="E48" s="61" t="s">
        <v>1093</v>
      </c>
      <c r="F48" s="62" t="s">
        <v>1094</v>
      </c>
      <c r="G48" s="50"/>
    </row>
    <row r="49" spans="1:7" ht="21">
      <c r="A49" s="84"/>
      <c r="B49" s="59" t="s">
        <v>8</v>
      </c>
      <c r="C49" s="65" t="s">
        <v>63</v>
      </c>
      <c r="D49" s="63" t="s">
        <v>595</v>
      </c>
      <c r="E49" s="63" t="s">
        <v>1534</v>
      </c>
      <c r="F49" s="62" t="str">
        <f ca="1">IFERROR(__xludf.DUMMYFUNCTION("GOOGLETRANSLATE(E561, ""ja"",""en"")"),"creation")</f>
        <v>creation</v>
      </c>
      <c r="G49" s="51"/>
    </row>
    <row r="50" spans="1:7" ht="21">
      <c r="A50" s="84"/>
      <c r="B50" s="59" t="s">
        <v>8</v>
      </c>
      <c r="C50" s="65" t="s">
        <v>63</v>
      </c>
      <c r="D50" s="63" t="s">
        <v>596</v>
      </c>
      <c r="E50" s="63" t="s">
        <v>1535</v>
      </c>
      <c r="F50" s="62" t="str">
        <f ca="1">IFERROR(__xludf.DUMMYFUNCTION("GOOGLETRANSLATE(E585, ""ja"",""en"")"),"side")</f>
        <v>side</v>
      </c>
      <c r="G50" s="51"/>
    </row>
    <row r="51" spans="1:7" ht="21">
      <c r="A51" s="84"/>
      <c r="B51" s="59" t="s">
        <v>8</v>
      </c>
      <c r="C51" s="65" t="s">
        <v>66</v>
      </c>
      <c r="D51" s="63" t="s">
        <v>597</v>
      </c>
      <c r="E51" s="63" t="s">
        <v>1536</v>
      </c>
      <c r="F51" s="62" t="s">
        <v>1095</v>
      </c>
      <c r="G51" s="50"/>
    </row>
    <row r="52" spans="1:7" ht="21">
      <c r="A52" s="84"/>
      <c r="B52" s="59" t="s">
        <v>8</v>
      </c>
      <c r="C52" s="65" t="s">
        <v>66</v>
      </c>
      <c r="D52" s="63" t="s">
        <v>1096</v>
      </c>
      <c r="E52" s="63" t="s">
        <v>1096</v>
      </c>
      <c r="F52" s="62" t="s">
        <v>1098</v>
      </c>
      <c r="G52" s="50"/>
    </row>
    <row r="53" spans="1:7" ht="21">
      <c r="A53" s="84"/>
      <c r="B53" s="59" t="s">
        <v>8</v>
      </c>
      <c r="C53" s="65" t="s">
        <v>68</v>
      </c>
      <c r="D53" s="61" t="s">
        <v>598</v>
      </c>
      <c r="E53" s="64" t="s">
        <v>1097</v>
      </c>
      <c r="F53" s="62" t="s">
        <v>1099</v>
      </c>
      <c r="G53" s="50"/>
    </row>
    <row r="54" spans="1:7" ht="21">
      <c r="A54" s="84"/>
      <c r="B54" s="59" t="s">
        <v>8</v>
      </c>
      <c r="C54" s="65" t="s">
        <v>68</v>
      </c>
      <c r="D54" s="63" t="s">
        <v>1101</v>
      </c>
      <c r="E54" s="63" t="s">
        <v>1102</v>
      </c>
      <c r="F54" s="62" t="s">
        <v>1103</v>
      </c>
      <c r="G54" s="51"/>
    </row>
    <row r="55" spans="1:7" ht="21">
      <c r="A55" s="84"/>
      <c r="B55" s="59" t="s">
        <v>8</v>
      </c>
      <c r="C55" s="65" t="s">
        <v>68</v>
      </c>
      <c r="D55" s="61" t="s">
        <v>1086</v>
      </c>
      <c r="E55" s="64" t="s">
        <v>3507</v>
      </c>
      <c r="F55" s="62" t="s">
        <v>1100</v>
      </c>
      <c r="G55" s="51"/>
    </row>
    <row r="56" spans="1:7" ht="21">
      <c r="A56" s="84"/>
      <c r="B56" s="59" t="s">
        <v>8</v>
      </c>
      <c r="C56" s="65" t="s">
        <v>68</v>
      </c>
      <c r="D56" s="63" t="s">
        <v>599</v>
      </c>
      <c r="E56" s="63" t="s">
        <v>3508</v>
      </c>
      <c r="F56" s="61" t="s">
        <v>1104</v>
      </c>
      <c r="G56" s="51"/>
    </row>
    <row r="57" spans="1:7" ht="21">
      <c r="A57" s="84"/>
      <c r="B57" s="59" t="s">
        <v>8</v>
      </c>
      <c r="C57" s="65" t="s">
        <v>73</v>
      </c>
      <c r="D57" s="63" t="s">
        <v>1105</v>
      </c>
      <c r="E57" s="63" t="s">
        <v>1106</v>
      </c>
      <c r="F57" s="62" t="str">
        <f ca="1">IFERROR(__xludf.DUMMYFUNCTION("GOOGLETRANSLATE(E586, ""ja"",""en"")"),"to fulfill")</f>
        <v>to fulfill</v>
      </c>
      <c r="G57" s="51"/>
    </row>
    <row r="58" spans="1:7" ht="21">
      <c r="A58" s="84"/>
      <c r="B58" s="59" t="s">
        <v>8</v>
      </c>
      <c r="C58" s="65" t="s">
        <v>73</v>
      </c>
      <c r="D58" s="63" t="s">
        <v>600</v>
      </c>
      <c r="E58" s="63" t="s">
        <v>1537</v>
      </c>
      <c r="F58" s="61" t="s">
        <v>601</v>
      </c>
      <c r="G58" s="51"/>
    </row>
    <row r="59" spans="1:7" ht="21">
      <c r="A59" s="84"/>
      <c r="B59" s="59" t="s">
        <v>8</v>
      </c>
      <c r="C59" s="65" t="s">
        <v>73</v>
      </c>
      <c r="D59" s="63" t="s">
        <v>602</v>
      </c>
      <c r="E59" s="63" t="s">
        <v>1538</v>
      </c>
      <c r="F59" s="62" t="s">
        <v>1107</v>
      </c>
      <c r="G59" s="50"/>
    </row>
    <row r="60" spans="1:7" ht="21">
      <c r="A60" s="84"/>
      <c r="B60" s="59" t="s">
        <v>8</v>
      </c>
      <c r="C60" s="65" t="s">
        <v>73</v>
      </c>
      <c r="D60" s="63" t="s">
        <v>603</v>
      </c>
      <c r="E60" s="63" t="s">
        <v>1539</v>
      </c>
      <c r="F60" s="61" t="s">
        <v>1108</v>
      </c>
      <c r="G60" s="51"/>
    </row>
    <row r="61" spans="1:7" ht="21">
      <c r="A61" s="84"/>
      <c r="B61" s="59" t="s">
        <v>8</v>
      </c>
      <c r="C61" s="65" t="s">
        <v>73</v>
      </c>
      <c r="D61" s="63" t="s">
        <v>604</v>
      </c>
      <c r="E61" s="63" t="s">
        <v>1540</v>
      </c>
      <c r="F61" s="61" t="s">
        <v>1109</v>
      </c>
      <c r="G61" s="50"/>
    </row>
    <row r="62" spans="1:7" ht="21">
      <c r="A62" s="84"/>
      <c r="B62" s="59" t="s">
        <v>8</v>
      </c>
      <c r="C62" s="65" t="s">
        <v>73</v>
      </c>
      <c r="D62" s="63" t="s">
        <v>605</v>
      </c>
      <c r="E62" s="63" t="s">
        <v>1541</v>
      </c>
      <c r="F62" s="61" t="s">
        <v>1110</v>
      </c>
      <c r="G62" s="50"/>
    </row>
    <row r="63" spans="1:7" ht="21">
      <c r="A63" s="84"/>
      <c r="B63" s="59" t="s">
        <v>8</v>
      </c>
      <c r="C63" s="65" t="s">
        <v>73</v>
      </c>
      <c r="D63" s="63" t="s">
        <v>606</v>
      </c>
      <c r="E63" s="63" t="s">
        <v>3509</v>
      </c>
      <c r="F63" s="61" t="s">
        <v>1111</v>
      </c>
      <c r="G63" s="50"/>
    </row>
    <row r="64" spans="1:7" ht="21">
      <c r="A64" s="84"/>
      <c r="B64" s="59" t="s">
        <v>8</v>
      </c>
      <c r="C64" s="65" t="s">
        <v>186</v>
      </c>
      <c r="D64" s="63" t="s">
        <v>607</v>
      </c>
      <c r="E64" s="63" t="s">
        <v>1542</v>
      </c>
      <c r="F64" s="61" t="s">
        <v>1112</v>
      </c>
      <c r="G64" s="50"/>
    </row>
    <row r="65" spans="1:7" ht="21">
      <c r="A65" s="84"/>
      <c r="B65" s="59" t="s">
        <v>8</v>
      </c>
      <c r="C65" s="65" t="s">
        <v>186</v>
      </c>
      <c r="D65" s="64" t="s">
        <v>608</v>
      </c>
      <c r="E65" s="64" t="s">
        <v>3510</v>
      </c>
      <c r="F65" s="61" t="s">
        <v>3628</v>
      </c>
      <c r="G65" s="50"/>
    </row>
    <row r="66" spans="1:7" ht="21">
      <c r="A66" s="84"/>
      <c r="B66" s="59" t="s">
        <v>8</v>
      </c>
      <c r="C66" s="65" t="s">
        <v>186</v>
      </c>
      <c r="D66" s="63" t="s">
        <v>609</v>
      </c>
      <c r="E66" s="63" t="s">
        <v>1113</v>
      </c>
      <c r="F66" s="62" t="str">
        <f ca="1">IFERROR(__xludf.DUMMYFUNCTION("GOOGLETRANSLATE(E571, ""ja"",""en"")"),"in the world")</f>
        <v>in the world</v>
      </c>
      <c r="G66" s="51"/>
    </row>
    <row r="67" spans="1:7" ht="21">
      <c r="A67" s="84"/>
      <c r="B67" s="59" t="s">
        <v>8</v>
      </c>
      <c r="C67" s="65" t="s">
        <v>186</v>
      </c>
      <c r="D67" s="61" t="s">
        <v>402</v>
      </c>
      <c r="E67" s="64" t="s">
        <v>1543</v>
      </c>
      <c r="F67" s="62" t="s">
        <v>927</v>
      </c>
      <c r="G67" s="51"/>
    </row>
    <row r="68" spans="1:7" ht="21">
      <c r="A68" s="84"/>
      <c r="B68" s="59" t="s">
        <v>8</v>
      </c>
      <c r="C68" s="65" t="s">
        <v>76</v>
      </c>
      <c r="D68" s="63" t="s">
        <v>610</v>
      </c>
      <c r="E68" s="63" t="s">
        <v>1544</v>
      </c>
      <c r="F68" s="62" t="str">
        <f ca="1">IFERROR(__xludf.DUMMYFUNCTION("GOOGLETRANSLATE(E568, ""ja"",""en"")"),"instant")</f>
        <v>instant</v>
      </c>
      <c r="G68" s="51"/>
    </row>
    <row r="69" spans="1:7" ht="21">
      <c r="A69" s="84"/>
      <c r="B69" s="59" t="s">
        <v>8</v>
      </c>
      <c r="C69" s="65" t="s">
        <v>76</v>
      </c>
      <c r="D69" s="63" t="s">
        <v>611</v>
      </c>
      <c r="E69" s="63" t="s">
        <v>1545</v>
      </c>
      <c r="F69" s="62" t="s">
        <v>3629</v>
      </c>
      <c r="G69" s="51"/>
    </row>
    <row r="70" spans="1:7" ht="21">
      <c r="A70" s="84"/>
      <c r="B70" s="59" t="s">
        <v>8</v>
      </c>
      <c r="C70" s="65" t="s">
        <v>194</v>
      </c>
      <c r="D70" s="63" t="s">
        <v>612</v>
      </c>
      <c r="E70" s="63" t="s">
        <v>1546</v>
      </c>
      <c r="F70" s="61" t="s">
        <v>3630</v>
      </c>
      <c r="G70" s="51"/>
    </row>
    <row r="71" spans="1:7" ht="21">
      <c r="A71" s="84"/>
      <c r="B71" s="59" t="s">
        <v>8</v>
      </c>
      <c r="C71" s="65" t="s">
        <v>194</v>
      </c>
      <c r="D71" s="63" t="s">
        <v>1114</v>
      </c>
      <c r="E71" s="63" t="s">
        <v>1115</v>
      </c>
      <c r="F71" s="62" t="s">
        <v>3631</v>
      </c>
      <c r="G71" s="51"/>
    </row>
    <row r="72" spans="1:7" ht="21">
      <c r="A72" s="84"/>
      <c r="B72" s="59" t="s">
        <v>77</v>
      </c>
      <c r="C72" s="60" t="s">
        <v>209</v>
      </c>
      <c r="D72" s="63" t="s">
        <v>613</v>
      </c>
      <c r="E72" s="63" t="s">
        <v>1547</v>
      </c>
      <c r="F72" s="62" t="str">
        <f ca="1">IFERROR(__xludf.DUMMYFUNCTION("GOOGLETRANSLATE(E646, ""ja"",""en"")"),"Sushi Police")</f>
        <v>Sushi Police</v>
      </c>
      <c r="G72" s="51"/>
    </row>
    <row r="73" spans="1:7" ht="21">
      <c r="A73" s="84"/>
      <c r="B73" s="59" t="s">
        <v>83</v>
      </c>
      <c r="C73" s="60" t="s">
        <v>6</v>
      </c>
      <c r="D73" s="61" t="s">
        <v>84</v>
      </c>
      <c r="E73" s="63" t="s">
        <v>1548</v>
      </c>
      <c r="F73" s="62" t="str">
        <f ca="1">IFERROR(__xludf.DUMMYFUNCTION("GOOGLETRANSLATE(E821, ""ja"",""en"")"),"traditional")</f>
        <v>traditional</v>
      </c>
      <c r="G73" s="51"/>
    </row>
    <row r="74" spans="1:7" ht="21">
      <c r="A74" s="84"/>
      <c r="B74" s="59" t="s">
        <v>83</v>
      </c>
      <c r="C74" s="60" t="s">
        <v>6</v>
      </c>
      <c r="D74" s="63" t="s">
        <v>614</v>
      </c>
      <c r="E74" s="63" t="s">
        <v>1549</v>
      </c>
      <c r="F74" s="61" t="s">
        <v>3632</v>
      </c>
      <c r="G74" s="51"/>
    </row>
    <row r="75" spans="1:7" ht="21">
      <c r="A75" s="84"/>
      <c r="B75" s="59" t="s">
        <v>83</v>
      </c>
      <c r="C75" s="60" t="s">
        <v>6</v>
      </c>
      <c r="D75" s="63" t="s">
        <v>615</v>
      </c>
      <c r="E75" s="63" t="s">
        <v>1550</v>
      </c>
      <c r="F75" s="62" t="s">
        <v>3633</v>
      </c>
      <c r="G75" s="51"/>
    </row>
    <row r="76" spans="1:7" ht="21">
      <c r="A76" s="84"/>
      <c r="B76" s="59" t="s">
        <v>83</v>
      </c>
      <c r="C76" s="60" t="s">
        <v>12</v>
      </c>
      <c r="D76" s="63" t="s">
        <v>17</v>
      </c>
      <c r="E76" s="63" t="s">
        <v>1525</v>
      </c>
      <c r="F76" s="62" t="str">
        <f ca="1">IFERROR(__xludf.DUMMYFUNCTION("GOOGLETRANSLATE(E683, ""ja"",""en"")"),"overseas")</f>
        <v>overseas</v>
      </c>
      <c r="G76" s="51"/>
    </row>
    <row r="77" spans="1:7" ht="21">
      <c r="A77" s="84"/>
      <c r="B77" s="59" t="s">
        <v>83</v>
      </c>
      <c r="C77" s="60" t="s">
        <v>12</v>
      </c>
      <c r="D77" s="61" t="s">
        <v>616</v>
      </c>
      <c r="E77" s="63" t="s">
        <v>1551</v>
      </c>
      <c r="F77" s="62" t="s">
        <v>3634</v>
      </c>
      <c r="G77" s="51"/>
    </row>
    <row r="78" spans="1:7" ht="21">
      <c r="A78" s="84"/>
      <c r="B78" s="59" t="s">
        <v>83</v>
      </c>
      <c r="C78" s="60" t="s">
        <v>12</v>
      </c>
      <c r="D78" s="63" t="s">
        <v>617</v>
      </c>
      <c r="E78" s="63" t="s">
        <v>1552</v>
      </c>
      <c r="F78" s="62" t="s">
        <v>700</v>
      </c>
      <c r="G78" s="51"/>
    </row>
    <row r="79" spans="1:7" ht="21">
      <c r="A79" s="84"/>
      <c r="B79" s="59" t="s">
        <v>83</v>
      </c>
      <c r="C79" s="60" t="s">
        <v>12</v>
      </c>
      <c r="D79" s="63" t="s">
        <v>618</v>
      </c>
      <c r="E79" s="63" t="s">
        <v>1553</v>
      </c>
      <c r="F79" s="62" t="str">
        <f ca="1">IFERROR(__xludf.DUMMYFUNCTION("GOOGLETRANSLATE(E684, ""ja"",""en"")"),"degree of attention")</f>
        <v>degree of attention</v>
      </c>
      <c r="G79" s="51"/>
    </row>
    <row r="80" spans="1:7" ht="21">
      <c r="A80" s="84"/>
      <c r="B80" s="59" t="s">
        <v>83</v>
      </c>
      <c r="C80" s="60" t="s">
        <v>12</v>
      </c>
      <c r="D80" s="63" t="s">
        <v>943</v>
      </c>
      <c r="E80" s="63" t="s">
        <v>944</v>
      </c>
      <c r="F80" s="62" t="str">
        <f ca="1">IFERROR(__xludf.DUMMYFUNCTION("GOOGLETRANSLATE(E394, ""ja"",""en"")"),"to increase")</f>
        <v>to increase</v>
      </c>
      <c r="G80" s="51"/>
    </row>
    <row r="81" spans="1:8" s="55" customFormat="1" ht="21">
      <c r="A81" s="84"/>
      <c r="B81" s="67" t="s">
        <v>83</v>
      </c>
      <c r="C81" s="68" t="s">
        <v>12</v>
      </c>
      <c r="D81" s="69" t="s">
        <v>538</v>
      </c>
      <c r="E81" s="69" t="s">
        <v>1554</v>
      </c>
      <c r="F81" s="70" t="s">
        <v>1481</v>
      </c>
      <c r="G81" s="53"/>
      <c r="H81" s="54"/>
    </row>
    <row r="82" spans="1:8" ht="21">
      <c r="A82" s="84"/>
      <c r="B82" s="59" t="s">
        <v>83</v>
      </c>
      <c r="C82" s="60" t="s">
        <v>12</v>
      </c>
      <c r="D82" s="63" t="s">
        <v>7</v>
      </c>
      <c r="E82" s="63" t="s">
        <v>1555</v>
      </c>
      <c r="F82" s="71" t="str">
        <f ca="1">IFERROR(__xludf.DUMMYFUNCTION("GOOGLETRANSLATE(E310, ""ja"",""en"")"),"area")</f>
        <v>area</v>
      </c>
      <c r="G82" s="51"/>
    </row>
    <row r="83" spans="1:8" ht="21">
      <c r="A83" s="84"/>
      <c r="B83" s="59" t="s">
        <v>83</v>
      </c>
      <c r="C83" s="60" t="s">
        <v>18</v>
      </c>
      <c r="D83" s="63" t="s">
        <v>619</v>
      </c>
      <c r="E83" s="63" t="s">
        <v>3511</v>
      </c>
      <c r="F83" s="62" t="s">
        <v>1117</v>
      </c>
      <c r="G83" s="51"/>
    </row>
    <row r="84" spans="1:8" ht="21">
      <c r="A84" s="84"/>
      <c r="B84" s="59" t="s">
        <v>83</v>
      </c>
      <c r="C84" s="60" t="s">
        <v>18</v>
      </c>
      <c r="D84" s="63" t="s">
        <v>620</v>
      </c>
      <c r="E84" s="63" t="s">
        <v>1556</v>
      </c>
      <c r="F84" s="62" t="str">
        <f ca="1">IFERROR(__xludf.DUMMYFUNCTION("GOOGLETRANSLATE(E689, ""ja"",""en"")"),"representative")</f>
        <v>representative</v>
      </c>
      <c r="G84" s="51"/>
    </row>
    <row r="85" spans="1:8" ht="21">
      <c r="A85" s="84"/>
      <c r="B85" s="59" t="s">
        <v>83</v>
      </c>
      <c r="C85" s="60" t="s">
        <v>21</v>
      </c>
      <c r="D85" s="61" t="s">
        <v>621</v>
      </c>
      <c r="E85" s="61" t="s">
        <v>1557</v>
      </c>
      <c r="F85" s="62" t="str">
        <f ca="1">IFERROR(__xludf.DUMMYFUNCTION("GOOGLETRANSLATE(E297, ""ja"",""en"")"),"example")</f>
        <v>example</v>
      </c>
      <c r="G85" s="50"/>
    </row>
    <row r="86" spans="1:8" ht="21">
      <c r="A86" s="84"/>
      <c r="B86" s="59" t="s">
        <v>83</v>
      </c>
      <c r="C86" s="60" t="s">
        <v>21</v>
      </c>
      <c r="D86" s="63" t="s">
        <v>622</v>
      </c>
      <c r="E86" s="63" t="s">
        <v>1558</v>
      </c>
      <c r="F86" s="62" t="str">
        <f ca="1">IFERROR(__xludf.DUMMYFUNCTION("GOOGLETRANSLATE(E628, ""ja"",""en"")"),"avocado")</f>
        <v>avocado</v>
      </c>
      <c r="G86" s="51"/>
    </row>
    <row r="87" spans="1:8" ht="21">
      <c r="A87" s="84"/>
      <c r="B87" s="59" t="s">
        <v>83</v>
      </c>
      <c r="C87" s="60" t="s">
        <v>21</v>
      </c>
      <c r="D87" s="63" t="s">
        <v>623</v>
      </c>
      <c r="E87" s="63" t="s">
        <v>1559</v>
      </c>
      <c r="F87" s="62" t="s">
        <v>1118</v>
      </c>
      <c r="G87" s="51"/>
    </row>
    <row r="88" spans="1:8" ht="21">
      <c r="A88" s="84"/>
      <c r="B88" s="59" t="s">
        <v>83</v>
      </c>
      <c r="C88" s="60" t="s">
        <v>21</v>
      </c>
      <c r="D88" s="63" t="s">
        <v>624</v>
      </c>
      <c r="E88" s="63" t="s">
        <v>1560</v>
      </c>
      <c r="F88" s="62" t="str">
        <f ca="1">IFERROR(__xludf.DUMMYFUNCTION("GOOGLETRANSLATE(E630, ""ja"",""en"")"),"cucumber")</f>
        <v>cucumber</v>
      </c>
      <c r="G88" s="51"/>
    </row>
    <row r="89" spans="1:8" ht="21">
      <c r="A89" s="84"/>
      <c r="B89" s="59" t="s">
        <v>83</v>
      </c>
      <c r="C89" s="60" t="s">
        <v>23</v>
      </c>
      <c r="D89" s="63" t="s">
        <v>625</v>
      </c>
      <c r="E89" s="63" t="s">
        <v>1561</v>
      </c>
      <c r="F89" s="62" t="str">
        <f ca="1">IFERROR(__xludf.DUMMYFUNCTION("GOOGLETRANSLATE(E631, ""ja"",""en"")"),"ingredients")</f>
        <v>ingredients</v>
      </c>
      <c r="G89" s="51"/>
    </row>
    <row r="90" spans="1:8" ht="21">
      <c r="A90" s="84"/>
      <c r="B90" s="59" t="s">
        <v>83</v>
      </c>
      <c r="C90" s="60" t="s">
        <v>23</v>
      </c>
      <c r="D90" s="63" t="s">
        <v>626</v>
      </c>
      <c r="E90" s="63" t="s">
        <v>3512</v>
      </c>
      <c r="F90" s="62" t="s">
        <v>1489</v>
      </c>
      <c r="G90" s="51"/>
    </row>
    <row r="91" spans="1:8" ht="21">
      <c r="A91" s="84"/>
      <c r="B91" s="59" t="s">
        <v>83</v>
      </c>
      <c r="C91" s="60" t="s">
        <v>23</v>
      </c>
      <c r="D91" s="63" t="s">
        <v>627</v>
      </c>
      <c r="E91" s="63" t="s">
        <v>1562</v>
      </c>
      <c r="F91" s="62" t="str">
        <f ca="1">IFERROR(__xludf.DUMMYFUNCTION("GOOGLETRANSLATE(E633, ""ja"",""en"")"),"hybrid")</f>
        <v>hybrid</v>
      </c>
      <c r="G91" s="51"/>
    </row>
    <row r="92" spans="1:8" ht="21">
      <c r="A92" s="84"/>
      <c r="B92" s="59" t="s">
        <v>83</v>
      </c>
      <c r="C92" s="60" t="s">
        <v>27</v>
      </c>
      <c r="D92" s="61" t="s">
        <v>628</v>
      </c>
      <c r="E92" s="61" t="s">
        <v>1563</v>
      </c>
      <c r="F92" s="61" t="s">
        <v>1119</v>
      </c>
      <c r="G92" s="51"/>
    </row>
    <row r="93" spans="1:8" ht="21">
      <c r="A93" s="84"/>
      <c r="B93" s="59" t="s">
        <v>83</v>
      </c>
      <c r="C93" s="65" t="s">
        <v>27</v>
      </c>
      <c r="D93" s="61" t="s">
        <v>1120</v>
      </c>
      <c r="E93" s="61" t="s">
        <v>1120</v>
      </c>
      <c r="F93" s="61" t="s">
        <v>1070</v>
      </c>
      <c r="G93" s="51"/>
    </row>
    <row r="94" spans="1:8" ht="21">
      <c r="A94" s="84"/>
      <c r="B94" s="59" t="s">
        <v>83</v>
      </c>
      <c r="C94" s="60" t="s">
        <v>27</v>
      </c>
      <c r="D94" s="63" t="s">
        <v>629</v>
      </c>
      <c r="E94" s="63" t="s">
        <v>1564</v>
      </c>
      <c r="F94" s="62" t="str">
        <f ca="1">IFERROR(__xludf.DUMMYFUNCTION("GOOGLETRANSLATE(E635, ""ja"",""en"")"),"Los Angeles")</f>
        <v>Los Angeles</v>
      </c>
      <c r="G94" s="51"/>
    </row>
    <row r="95" spans="1:8" ht="21">
      <c r="A95" s="84"/>
      <c r="B95" s="59" t="s">
        <v>83</v>
      </c>
      <c r="C95" s="60" t="s">
        <v>27</v>
      </c>
      <c r="D95" s="63" t="s">
        <v>630</v>
      </c>
      <c r="E95" s="63" t="s">
        <v>1565</v>
      </c>
      <c r="F95" s="62" t="s">
        <v>1490</v>
      </c>
      <c r="G95" s="50"/>
    </row>
    <row r="96" spans="1:8" ht="21">
      <c r="A96" s="84"/>
      <c r="B96" s="59" t="s">
        <v>83</v>
      </c>
      <c r="C96" s="60" t="s">
        <v>30</v>
      </c>
      <c r="D96" s="63" t="s">
        <v>631</v>
      </c>
      <c r="E96" s="63" t="s">
        <v>1566</v>
      </c>
      <c r="F96" s="62" t="str">
        <f ca="1">IFERROR(__xludf.DUMMYFUNCTION("GOOGLETRANSLATE(E694, ""ja"",""en"")"),"seaweed")</f>
        <v>seaweed</v>
      </c>
      <c r="G96" s="51"/>
    </row>
    <row r="97" spans="1:7" ht="21">
      <c r="A97" s="84"/>
      <c r="B97" s="59" t="s">
        <v>83</v>
      </c>
      <c r="C97" s="60" t="s">
        <v>30</v>
      </c>
      <c r="D97" s="63" t="s">
        <v>632</v>
      </c>
      <c r="E97" s="63" t="s">
        <v>1567</v>
      </c>
      <c r="F97" s="62" t="str">
        <f ca="1">IFERROR(__xludf.DUMMYFUNCTION("GOOGLETRANSLATE(E695, ""ja"",""en"")"),"raw")</f>
        <v>raw</v>
      </c>
      <c r="G97" s="51"/>
    </row>
    <row r="98" spans="1:7" ht="21">
      <c r="A98" s="84"/>
      <c r="B98" s="59" t="s">
        <v>83</v>
      </c>
      <c r="C98" s="60" t="s">
        <v>30</v>
      </c>
      <c r="D98" s="61" t="s">
        <v>633</v>
      </c>
      <c r="E98" s="63" t="s">
        <v>1568</v>
      </c>
      <c r="F98" s="62" t="s">
        <v>1491</v>
      </c>
      <c r="G98" s="51"/>
    </row>
    <row r="99" spans="1:7" ht="21">
      <c r="A99" s="84"/>
      <c r="B99" s="59" t="s">
        <v>83</v>
      </c>
      <c r="C99" s="60" t="s">
        <v>30</v>
      </c>
      <c r="D99" s="63" t="s">
        <v>263</v>
      </c>
      <c r="E99" s="63" t="s">
        <v>1569</v>
      </c>
      <c r="F99" s="62" t="str">
        <f ca="1">IFERROR(__xludf.DUMMYFUNCTION("GOOGLETRANSLATE(E666, ""ja"",""en"")"),"local")</f>
        <v>local</v>
      </c>
      <c r="G99" s="51"/>
    </row>
    <row r="100" spans="1:7" ht="21">
      <c r="A100" s="84"/>
      <c r="B100" s="59" t="s">
        <v>83</v>
      </c>
      <c r="C100" s="60" t="s">
        <v>30</v>
      </c>
      <c r="D100" s="63" t="s">
        <v>1121</v>
      </c>
      <c r="E100" s="63" t="s">
        <v>1122</v>
      </c>
      <c r="F100" s="62" t="str">
        <f ca="1">IFERROR(__xludf.DUMMYFUNCTION("GOOGLETRANSLATE(E636, ""ja"",""en"")"),"to devise")</f>
        <v>to devise</v>
      </c>
      <c r="G100" s="51"/>
    </row>
    <row r="101" spans="1:7" ht="21">
      <c r="A101" s="84"/>
      <c r="B101" s="59" t="s">
        <v>83</v>
      </c>
      <c r="C101" s="60" t="s">
        <v>238</v>
      </c>
      <c r="D101" s="63" t="s">
        <v>634</v>
      </c>
      <c r="E101" s="63" t="s">
        <v>1570</v>
      </c>
      <c r="F101" s="62" t="str">
        <f ca="1">IFERROR(__xludf.DUMMYFUNCTION("GOOGLETRANSLATE(E637, ""ja"",""en"")"),"Peking duck")</f>
        <v>Peking duck</v>
      </c>
      <c r="G101" s="51"/>
    </row>
    <row r="102" spans="1:7" ht="21">
      <c r="A102" s="84"/>
      <c r="B102" s="59" t="s">
        <v>83</v>
      </c>
      <c r="C102" s="60" t="s">
        <v>238</v>
      </c>
      <c r="D102" s="63" t="s">
        <v>635</v>
      </c>
      <c r="E102" s="63" t="s">
        <v>3513</v>
      </c>
      <c r="F102" s="61" t="s">
        <v>1492</v>
      </c>
      <c r="G102" s="51"/>
    </row>
    <row r="103" spans="1:7" ht="21">
      <c r="A103" s="84"/>
      <c r="B103" s="59" t="s">
        <v>83</v>
      </c>
      <c r="C103" s="60" t="s">
        <v>34</v>
      </c>
      <c r="D103" s="61" t="s">
        <v>636</v>
      </c>
      <c r="E103" s="63" t="s">
        <v>3635</v>
      </c>
      <c r="F103" s="62" t="s">
        <v>3636</v>
      </c>
      <c r="G103" s="51"/>
    </row>
    <row r="104" spans="1:7" ht="21">
      <c r="A104" s="84"/>
      <c r="B104" s="59" t="s">
        <v>83</v>
      </c>
      <c r="C104" s="60" t="s">
        <v>34</v>
      </c>
      <c r="D104" s="61" t="s">
        <v>177</v>
      </c>
      <c r="E104" s="63" t="s">
        <v>1543</v>
      </c>
      <c r="F104" s="62" t="str">
        <f ca="1">IFERROR(__xludf.DUMMYFUNCTION("GOOGLETRANSLATE(E567, ""ja"",""en"")"),"people")</f>
        <v>people</v>
      </c>
      <c r="G104" s="51"/>
    </row>
    <row r="105" spans="1:7" ht="21">
      <c r="A105" s="84"/>
      <c r="B105" s="59" t="s">
        <v>83</v>
      </c>
      <c r="C105" s="60" t="s">
        <v>36</v>
      </c>
      <c r="D105" s="63" t="s">
        <v>766</v>
      </c>
      <c r="E105" s="63" t="s">
        <v>767</v>
      </c>
      <c r="F105" s="62" t="str">
        <f ca="1">IFERROR(__xludf.DUMMYFUNCTION("GOOGLETRANSLATE(E697, ""ja"",""en"")"),"prefer")</f>
        <v>prefer</v>
      </c>
      <c r="G105" s="51"/>
    </row>
    <row r="106" spans="1:7" ht="21">
      <c r="A106" s="84"/>
      <c r="B106" s="59" t="s">
        <v>83</v>
      </c>
      <c r="C106" s="60" t="s">
        <v>36</v>
      </c>
      <c r="D106" s="63" t="s">
        <v>637</v>
      </c>
      <c r="E106" s="63" t="s">
        <v>1571</v>
      </c>
      <c r="F106" s="62" t="s">
        <v>3637</v>
      </c>
      <c r="G106" s="51"/>
    </row>
    <row r="107" spans="1:7" ht="21">
      <c r="A107" s="84"/>
      <c r="B107" s="59" t="s">
        <v>83</v>
      </c>
      <c r="C107" s="60" t="s">
        <v>36</v>
      </c>
      <c r="D107" s="63" t="s">
        <v>519</v>
      </c>
      <c r="E107" s="63" t="s">
        <v>1572</v>
      </c>
      <c r="F107" s="62" t="s">
        <v>1116</v>
      </c>
      <c r="G107" s="51"/>
    </row>
    <row r="108" spans="1:7" ht="21">
      <c r="A108" s="84"/>
      <c r="B108" s="59" t="s">
        <v>83</v>
      </c>
      <c r="C108" s="60" t="s">
        <v>36</v>
      </c>
      <c r="D108" s="63" t="s">
        <v>772</v>
      </c>
      <c r="E108" s="63" t="s">
        <v>773</v>
      </c>
      <c r="F108" s="62" t="s">
        <v>903</v>
      </c>
      <c r="G108" s="50"/>
    </row>
    <row r="109" spans="1:7" ht="21">
      <c r="A109" s="84"/>
      <c r="B109" s="59" t="s">
        <v>83</v>
      </c>
      <c r="C109" s="60" t="s">
        <v>36</v>
      </c>
      <c r="D109" s="61" t="s">
        <v>638</v>
      </c>
      <c r="E109" s="63" t="s">
        <v>1573</v>
      </c>
      <c r="F109" s="62" t="str">
        <f ca="1">IFERROR(__xludf.DUMMYFUNCTION("GOOGLETRANSLATE(E667, ""ja"",""en"")"),"evolution")</f>
        <v>evolution</v>
      </c>
      <c r="G109" s="51"/>
    </row>
    <row r="110" spans="1:7" ht="21">
      <c r="A110" s="84"/>
      <c r="B110" s="59" t="s">
        <v>83</v>
      </c>
      <c r="C110" s="60" t="s">
        <v>39</v>
      </c>
      <c r="D110" s="63" t="s">
        <v>639</v>
      </c>
      <c r="E110" s="63" t="s">
        <v>1574</v>
      </c>
      <c r="F110" s="62" t="s">
        <v>3638</v>
      </c>
      <c r="G110" s="51"/>
    </row>
    <row r="111" spans="1:7" ht="21">
      <c r="A111" s="84"/>
      <c r="B111" s="59" t="s">
        <v>83</v>
      </c>
      <c r="C111" s="60" t="s">
        <v>39</v>
      </c>
      <c r="D111" s="63" t="s">
        <v>1123</v>
      </c>
      <c r="E111" s="63" t="s">
        <v>1124</v>
      </c>
      <c r="F111" s="61" t="s">
        <v>1125</v>
      </c>
      <c r="G111" s="51"/>
    </row>
    <row r="112" spans="1:7" ht="21">
      <c r="A112" s="84"/>
      <c r="B112" s="59" t="s">
        <v>83</v>
      </c>
      <c r="C112" s="60" t="s">
        <v>43</v>
      </c>
      <c r="D112" s="63" t="s">
        <v>640</v>
      </c>
      <c r="E112" s="63" t="s">
        <v>1575</v>
      </c>
      <c r="F112" s="62" t="str">
        <f ca="1">IFERROR(__xludf.DUMMYFUNCTION("GOOGLETRANSLATE(E124, ""ja"",""en"")"),"movement")</f>
        <v>movement</v>
      </c>
      <c r="G112" s="51"/>
    </row>
    <row r="113" spans="1:7" ht="21">
      <c r="A113" s="84"/>
      <c r="B113" s="59" t="s">
        <v>83</v>
      </c>
      <c r="C113" s="60" t="s">
        <v>43</v>
      </c>
      <c r="D113" s="61" t="s">
        <v>1126</v>
      </c>
      <c r="E113" s="64" t="s">
        <v>1127</v>
      </c>
      <c r="F113" s="62" t="str">
        <f ca="1">IFERROR(__xludf.DUMMYFUNCTION("GOOGLETRANSLATE(E488, ""ja"",""en"")"),"government")</f>
        <v>government</v>
      </c>
      <c r="G113" s="51"/>
    </row>
    <row r="114" spans="1:7" ht="21">
      <c r="A114" s="84"/>
      <c r="B114" s="59" t="s">
        <v>83</v>
      </c>
      <c r="C114" s="60" t="s">
        <v>43</v>
      </c>
      <c r="D114" s="61" t="s">
        <v>641</v>
      </c>
      <c r="E114" s="61" t="s">
        <v>1576</v>
      </c>
      <c r="F114" s="62" t="str">
        <f ca="1">IFERROR(__xludf.DUMMYFUNCTION("GOOGLETRANSLATE(E643, ""ja"",""en"")"),"certification")</f>
        <v>certification</v>
      </c>
      <c r="G114" s="51"/>
    </row>
    <row r="115" spans="1:7" ht="21">
      <c r="A115" s="84"/>
      <c r="B115" s="59" t="s">
        <v>83</v>
      </c>
      <c r="C115" s="60" t="s">
        <v>43</v>
      </c>
      <c r="D115" s="63" t="s">
        <v>642</v>
      </c>
      <c r="E115" s="63" t="s">
        <v>643</v>
      </c>
      <c r="F115" s="62" t="str">
        <f ca="1">IFERROR(__xludf.DUMMYFUNCTION("GOOGLETRANSLATE(E703, ""ja"",""en"")"),"system")</f>
        <v>system</v>
      </c>
      <c r="G115" s="56"/>
    </row>
    <row r="116" spans="1:7" ht="21">
      <c r="A116" s="84"/>
      <c r="B116" s="59" t="s">
        <v>83</v>
      </c>
      <c r="C116" s="60" t="s">
        <v>49</v>
      </c>
      <c r="D116" s="61" t="s">
        <v>696</v>
      </c>
      <c r="E116" s="61" t="s">
        <v>1577</v>
      </c>
      <c r="F116" s="62" t="str">
        <f ca="1">IFERROR(__xludf.DUMMYFUNCTION("GOOGLETRANSLATE(E832, ""ja"",""en"")"),"introduction")</f>
        <v>introduction</v>
      </c>
      <c r="G116" s="50"/>
    </row>
    <row r="117" spans="1:7" ht="21">
      <c r="A117" s="84"/>
      <c r="B117" s="59" t="s">
        <v>83</v>
      </c>
      <c r="C117" s="60" t="s">
        <v>49</v>
      </c>
      <c r="D117" s="63" t="s">
        <v>487</v>
      </c>
      <c r="E117" s="63" t="s">
        <v>1578</v>
      </c>
      <c r="F117" s="62" t="s">
        <v>1002</v>
      </c>
      <c r="G117" s="50"/>
    </row>
    <row r="118" spans="1:7" ht="21">
      <c r="A118" s="84"/>
      <c r="B118" s="59" t="s">
        <v>83</v>
      </c>
      <c r="C118" s="60" t="s">
        <v>49</v>
      </c>
      <c r="D118" s="63" t="s">
        <v>102</v>
      </c>
      <c r="E118" s="63" t="s">
        <v>1579</v>
      </c>
      <c r="F118" s="62" t="str">
        <f ca="1">IFERROR(__xludf.DUMMYFUNCTION("GOOGLETRANSLATE(E71, ""ja"",""en"")"),"ingredients")</f>
        <v>ingredients</v>
      </c>
      <c r="G118" s="51"/>
    </row>
    <row r="119" spans="1:7" ht="21">
      <c r="A119" s="84"/>
      <c r="B119" s="59" t="s">
        <v>83</v>
      </c>
      <c r="C119" s="60" t="s">
        <v>49</v>
      </c>
      <c r="D119" s="63" t="s">
        <v>1128</v>
      </c>
      <c r="E119" s="63" t="s">
        <v>1129</v>
      </c>
      <c r="F119" s="62" t="s">
        <v>1493</v>
      </c>
      <c r="G119" s="50"/>
    </row>
    <row r="120" spans="1:7" ht="21">
      <c r="A120" s="84"/>
      <c r="B120" s="59" t="s">
        <v>83</v>
      </c>
      <c r="C120" s="65" t="s">
        <v>54</v>
      </c>
      <c r="D120" s="61" t="s">
        <v>436</v>
      </c>
      <c r="E120" s="61" t="s">
        <v>1580</v>
      </c>
      <c r="F120" s="62" t="s">
        <v>962</v>
      </c>
      <c r="G120" s="50"/>
    </row>
    <row r="121" spans="1:7" ht="21">
      <c r="A121" s="84"/>
      <c r="B121" s="59" t="s">
        <v>83</v>
      </c>
      <c r="C121" s="60" t="s">
        <v>54</v>
      </c>
      <c r="D121" s="63" t="s">
        <v>644</v>
      </c>
      <c r="E121" s="63" t="s">
        <v>1581</v>
      </c>
      <c r="F121" s="62" t="str">
        <f ca="1">IFERROR(__xludf.DUMMYFUNCTION("GOOGLETRANSLATE(E671, ""ja"",""en"")"),"media")</f>
        <v>media</v>
      </c>
      <c r="G121" s="51"/>
    </row>
    <row r="122" spans="1:7" ht="21">
      <c r="A122" s="84"/>
      <c r="B122" s="59" t="s">
        <v>83</v>
      </c>
      <c r="C122" s="60" t="s">
        <v>58</v>
      </c>
      <c r="D122" s="63" t="s">
        <v>1130</v>
      </c>
      <c r="E122" s="63" t="s">
        <v>1131</v>
      </c>
      <c r="F122" s="62" t="s">
        <v>3639</v>
      </c>
      <c r="G122" s="51"/>
    </row>
    <row r="123" spans="1:7" ht="21">
      <c r="A123" s="84"/>
      <c r="B123" s="59" t="s">
        <v>83</v>
      </c>
      <c r="C123" s="60" t="s">
        <v>58</v>
      </c>
      <c r="D123" s="63" t="s">
        <v>645</v>
      </c>
      <c r="E123" s="63" t="s">
        <v>1582</v>
      </c>
      <c r="F123" s="62" t="s">
        <v>1132</v>
      </c>
      <c r="G123" s="51"/>
    </row>
    <row r="124" spans="1:7" ht="21">
      <c r="A124" s="84"/>
      <c r="B124" s="59" t="s">
        <v>83</v>
      </c>
      <c r="C124" s="60" t="s">
        <v>58</v>
      </c>
      <c r="D124" s="61" t="s">
        <v>646</v>
      </c>
      <c r="E124" s="63" t="s">
        <v>1583</v>
      </c>
      <c r="F124" s="62" t="s">
        <v>1133</v>
      </c>
      <c r="G124" s="58"/>
    </row>
    <row r="125" spans="1:7" ht="21">
      <c r="A125" s="84"/>
      <c r="B125" s="59" t="s">
        <v>83</v>
      </c>
      <c r="C125" s="60" t="s">
        <v>58</v>
      </c>
      <c r="D125" s="63" t="s">
        <v>1134</v>
      </c>
      <c r="E125" s="63" t="s">
        <v>1135</v>
      </c>
      <c r="F125" s="62" t="s">
        <v>3640</v>
      </c>
      <c r="G125" s="50"/>
    </row>
    <row r="126" spans="1:7" ht="21">
      <c r="A126" s="84"/>
      <c r="B126" s="59" t="s">
        <v>83</v>
      </c>
      <c r="C126" s="60" t="s">
        <v>58</v>
      </c>
      <c r="D126" s="63" t="s">
        <v>1136</v>
      </c>
      <c r="E126" s="63" t="s">
        <v>1137</v>
      </c>
      <c r="F126" s="62" t="str">
        <f ca="1">IFERROR(__xludf.DUMMYFUNCTION("GOOGLETRANSLATE(E709, ""ja"",""en"")"),"realization")</f>
        <v>realization</v>
      </c>
      <c r="G126" s="51"/>
    </row>
    <row r="127" spans="1:7" ht="21">
      <c r="A127" s="84"/>
      <c r="B127" s="59" t="s">
        <v>83</v>
      </c>
      <c r="C127" s="60" t="s">
        <v>58</v>
      </c>
      <c r="D127" s="61" t="s">
        <v>1138</v>
      </c>
      <c r="E127" s="63" t="s">
        <v>1139</v>
      </c>
      <c r="F127" s="62" t="s">
        <v>1352</v>
      </c>
      <c r="G127" s="51"/>
    </row>
    <row r="128" spans="1:7" ht="21">
      <c r="A128" s="84"/>
      <c r="B128" s="59" t="s">
        <v>83</v>
      </c>
      <c r="C128" s="60" t="s">
        <v>60</v>
      </c>
      <c r="D128" s="61" t="s">
        <v>647</v>
      </c>
      <c r="E128" s="61" t="s">
        <v>1584</v>
      </c>
      <c r="F128" s="62" t="str">
        <f ca="1">IFERROR(__xludf.DUMMYFUNCTION("GOOGLETRANSLATE(E475, ""ja"",""en"")"),"cooking")</f>
        <v>cooking</v>
      </c>
      <c r="G128" s="51"/>
    </row>
    <row r="129" spans="1:7" ht="21">
      <c r="A129" s="84"/>
      <c r="B129" s="59" t="s">
        <v>83</v>
      </c>
      <c r="C129" s="60" t="s">
        <v>60</v>
      </c>
      <c r="D129" s="63" t="s">
        <v>648</v>
      </c>
      <c r="E129" s="61" t="s">
        <v>1585</v>
      </c>
      <c r="F129" s="62" t="str">
        <f ca="1">IFERROR(__xludf.DUMMYFUNCTION("GOOGLETRANSLATE(E673, ""ja"",""en"")"),"skill")</f>
        <v>skill</v>
      </c>
      <c r="G129" s="51"/>
    </row>
    <row r="130" spans="1:7" ht="21">
      <c r="A130" s="84"/>
      <c r="B130" s="59" t="s">
        <v>83</v>
      </c>
      <c r="C130" s="60" t="s">
        <v>60</v>
      </c>
      <c r="D130" s="63" t="s">
        <v>649</v>
      </c>
      <c r="E130" s="63" t="s">
        <v>1586</v>
      </c>
      <c r="F130" s="62" t="str">
        <f ca="1">IFERROR(__xludf.DUMMYFUNCTION("GOOGLETRANSLATE(E649, ""ja"",""en"")"),"guideline")</f>
        <v>guideline</v>
      </c>
      <c r="G130" s="51"/>
    </row>
    <row r="131" spans="1:7" ht="21">
      <c r="A131" s="84"/>
      <c r="B131" s="59" t="s">
        <v>83</v>
      </c>
      <c r="C131" s="60" t="s">
        <v>60</v>
      </c>
      <c r="D131" s="61" t="s">
        <v>697</v>
      </c>
      <c r="E131" s="61" t="s">
        <v>1587</v>
      </c>
      <c r="F131" s="62" t="str">
        <f ca="1">IFERROR(__xludf.DUMMYFUNCTION("GOOGLETRANSLATE(E650, ""ja"",""en"")"),"recommendation")</f>
        <v>recommendation</v>
      </c>
      <c r="G131" s="50"/>
    </row>
    <row r="132" spans="1:7" ht="21">
      <c r="A132" s="84"/>
      <c r="B132" s="59" t="s">
        <v>83</v>
      </c>
      <c r="C132" s="60" t="s">
        <v>60</v>
      </c>
      <c r="D132" s="63" t="s">
        <v>1140</v>
      </c>
      <c r="E132" s="63" t="s">
        <v>1141</v>
      </c>
      <c r="F132" s="62" t="s">
        <v>3641</v>
      </c>
      <c r="G132" s="51"/>
    </row>
    <row r="133" spans="1:7" ht="21">
      <c r="A133" s="84"/>
      <c r="B133" s="59" t="s">
        <v>83</v>
      </c>
      <c r="C133" s="60" t="s">
        <v>63</v>
      </c>
      <c r="D133" s="63" t="s">
        <v>650</v>
      </c>
      <c r="E133" s="63" t="s">
        <v>1588</v>
      </c>
      <c r="F133" s="62" t="s">
        <v>3642</v>
      </c>
      <c r="G133" s="51"/>
    </row>
    <row r="134" spans="1:7" ht="21">
      <c r="A134" s="84"/>
      <c r="B134" s="59" t="s">
        <v>83</v>
      </c>
      <c r="C134" s="60" t="s">
        <v>63</v>
      </c>
      <c r="D134" s="61" t="s">
        <v>165</v>
      </c>
      <c r="E134" s="61" t="s">
        <v>1589</v>
      </c>
      <c r="F134" s="62" t="str">
        <f ca="1">IFERROR(__xludf.DUMMYFUNCTION("GOOGLETRANSLATE(E340, ""ja"",""en"")"),"consumption")</f>
        <v>consumption</v>
      </c>
      <c r="G134" s="50"/>
    </row>
    <row r="135" spans="1:7" ht="21">
      <c r="A135" s="84"/>
      <c r="B135" s="59" t="s">
        <v>83</v>
      </c>
      <c r="C135" s="60" t="s">
        <v>63</v>
      </c>
      <c r="D135" s="61" t="s">
        <v>1142</v>
      </c>
      <c r="E135" s="63" t="s">
        <v>1143</v>
      </c>
      <c r="F135" s="62" t="s">
        <v>1494</v>
      </c>
      <c r="G135" s="50"/>
    </row>
    <row r="136" spans="1:7" ht="21">
      <c r="A136" s="84"/>
      <c r="B136" s="59" t="s">
        <v>83</v>
      </c>
      <c r="C136" s="60" t="s">
        <v>66</v>
      </c>
      <c r="D136" s="63" t="s">
        <v>651</v>
      </c>
      <c r="E136" s="63" t="s">
        <v>1590</v>
      </c>
      <c r="F136" s="62" t="s">
        <v>1144</v>
      </c>
      <c r="G136" s="51"/>
    </row>
    <row r="137" spans="1:7" ht="21">
      <c r="A137" s="84"/>
      <c r="B137" s="59" t="s">
        <v>83</v>
      </c>
      <c r="C137" s="60" t="s">
        <v>68</v>
      </c>
      <c r="D137" s="63" t="s">
        <v>652</v>
      </c>
      <c r="E137" s="63" t="s">
        <v>1591</v>
      </c>
      <c r="F137" s="62" t="str">
        <f ca="1">IFERROR(__xludf.DUMMYFUNCTION("GOOGLETRANSLATE(E654, ""ja"",""en"")"),"animation")</f>
        <v>animation</v>
      </c>
      <c r="G137" s="51"/>
    </row>
    <row r="138" spans="1:7" ht="21">
      <c r="A138" s="84"/>
      <c r="B138" s="59" t="s">
        <v>83</v>
      </c>
      <c r="C138" s="60" t="s">
        <v>68</v>
      </c>
      <c r="D138" s="63" t="s">
        <v>653</v>
      </c>
      <c r="E138" s="63" t="s">
        <v>3514</v>
      </c>
      <c r="F138" s="61" t="s">
        <v>1145</v>
      </c>
      <c r="G138" s="50"/>
    </row>
    <row r="139" spans="1:7" ht="21">
      <c r="A139" s="84"/>
      <c r="B139" s="59" t="s">
        <v>83</v>
      </c>
      <c r="C139" s="60" t="s">
        <v>68</v>
      </c>
      <c r="D139" s="63" t="s">
        <v>654</v>
      </c>
      <c r="E139" s="63" t="s">
        <v>1592</v>
      </c>
      <c r="F139" s="62" t="s">
        <v>3643</v>
      </c>
      <c r="G139" s="51"/>
    </row>
    <row r="140" spans="1:7" ht="21">
      <c r="A140" s="84"/>
      <c r="B140" s="59" t="s">
        <v>83</v>
      </c>
      <c r="C140" s="60" t="s">
        <v>68</v>
      </c>
      <c r="D140" s="61" t="s">
        <v>655</v>
      </c>
      <c r="E140" s="61" t="s">
        <v>1593</v>
      </c>
      <c r="F140" s="43" t="s">
        <v>3644</v>
      </c>
      <c r="G140" s="51"/>
    </row>
    <row r="141" spans="1:7" ht="21">
      <c r="A141" s="84"/>
      <c r="B141" s="59" t="s">
        <v>83</v>
      </c>
      <c r="C141" s="60" t="s">
        <v>68</v>
      </c>
      <c r="D141" s="63" t="s">
        <v>656</v>
      </c>
      <c r="E141" s="63" t="s">
        <v>1594</v>
      </c>
      <c r="F141" s="62" t="s">
        <v>1146</v>
      </c>
      <c r="G141" s="51"/>
    </row>
    <row r="142" spans="1:7" ht="21">
      <c r="A142" s="84"/>
      <c r="B142" s="59" t="s">
        <v>83</v>
      </c>
      <c r="C142" s="60" t="s">
        <v>179</v>
      </c>
      <c r="D142" s="63" t="s">
        <v>869</v>
      </c>
      <c r="E142" s="63" t="s">
        <v>870</v>
      </c>
      <c r="F142" s="62" t="str">
        <f ca="1">IFERROR(__xludf.DUMMYFUNCTION("GOOGLETRANSLATE(E296, ""ja"",""en"")"),"to experience")</f>
        <v>to experience</v>
      </c>
      <c r="G142" s="50"/>
    </row>
    <row r="143" spans="1:7" ht="21">
      <c r="A143" s="84"/>
      <c r="B143" s="59" t="s">
        <v>83</v>
      </c>
      <c r="C143" s="60" t="s">
        <v>179</v>
      </c>
      <c r="D143" s="63" t="s">
        <v>534</v>
      </c>
      <c r="E143" s="63" t="s">
        <v>1595</v>
      </c>
      <c r="F143" s="61" t="s">
        <v>1049</v>
      </c>
      <c r="G143" s="51"/>
    </row>
    <row r="144" spans="1:7" ht="21">
      <c r="A144" s="84"/>
      <c r="B144" s="59" t="s">
        <v>83</v>
      </c>
      <c r="C144" s="60" t="s">
        <v>179</v>
      </c>
      <c r="D144" s="63" t="s">
        <v>657</v>
      </c>
      <c r="E144" s="63" t="s">
        <v>1596</v>
      </c>
      <c r="F144" s="61" t="s">
        <v>1495</v>
      </c>
    </row>
    <row r="145" spans="1:7" ht="21">
      <c r="A145" s="84"/>
      <c r="B145" s="59" t="s">
        <v>83</v>
      </c>
      <c r="C145" s="60" t="s">
        <v>179</v>
      </c>
      <c r="D145" s="63" t="s">
        <v>278</v>
      </c>
      <c r="E145" s="63" t="s">
        <v>1597</v>
      </c>
      <c r="F145" s="62" t="str">
        <f ca="1">IFERROR(__xludf.DUMMYFUNCTION("GOOGLETRANSLATE(E251, ""ja"",""en"")"),"purpose")</f>
        <v>purpose</v>
      </c>
      <c r="G145" s="51"/>
    </row>
    <row r="146" spans="1:7" ht="21">
      <c r="A146" s="84"/>
      <c r="B146" s="59" t="s">
        <v>83</v>
      </c>
      <c r="C146" s="60" t="s">
        <v>179</v>
      </c>
      <c r="D146" s="63" t="s">
        <v>658</v>
      </c>
      <c r="E146" s="63" t="s">
        <v>1598</v>
      </c>
      <c r="F146" s="62" t="s">
        <v>1147</v>
      </c>
      <c r="G146" s="50"/>
    </row>
    <row r="147" spans="1:7" ht="21">
      <c r="A147" s="84"/>
      <c r="B147" s="59" t="s">
        <v>83</v>
      </c>
      <c r="C147" s="60" t="s">
        <v>186</v>
      </c>
      <c r="D147" s="63" t="s">
        <v>659</v>
      </c>
      <c r="E147" s="63" t="s">
        <v>1599</v>
      </c>
      <c r="F147" s="62" t="str">
        <f ca="1">IFERROR(__xludf.DUMMYFUNCTION("GOOGLETRANSLATE(E659, ""ja"",""en"")"),"recent years")</f>
        <v>recent years</v>
      </c>
      <c r="G147" s="51"/>
    </row>
    <row r="148" spans="1:7" ht="21">
      <c r="A148" s="84"/>
      <c r="B148" s="59" t="s">
        <v>83</v>
      </c>
      <c r="C148" s="60" t="s">
        <v>186</v>
      </c>
      <c r="D148" s="63" t="s">
        <v>660</v>
      </c>
      <c r="E148" s="63" t="s">
        <v>3515</v>
      </c>
      <c r="F148" s="61" t="s">
        <v>1148</v>
      </c>
      <c r="G148" s="51"/>
    </row>
    <row r="149" spans="1:7" ht="21">
      <c r="A149" s="84"/>
      <c r="B149" s="59" t="s">
        <v>83</v>
      </c>
      <c r="C149" s="60" t="s">
        <v>186</v>
      </c>
      <c r="D149" s="63" t="s">
        <v>1149</v>
      </c>
      <c r="E149" s="63" t="s">
        <v>1150</v>
      </c>
      <c r="F149" s="62" t="s">
        <v>3624</v>
      </c>
      <c r="G149" s="50"/>
    </row>
    <row r="150" spans="1:7" ht="21">
      <c r="A150" s="84"/>
      <c r="B150" s="59" t="s">
        <v>83</v>
      </c>
      <c r="C150" s="60" t="s">
        <v>76</v>
      </c>
      <c r="D150" s="63" t="s">
        <v>1151</v>
      </c>
      <c r="E150" s="63" t="s">
        <v>1152</v>
      </c>
      <c r="F150" s="62" t="str">
        <f ca="1">IFERROR(__xludf.DUMMYFUNCTION("GOOGLETRANSLATE(E680, ""ja"",""en"")"),"to advance")</f>
        <v>to advance</v>
      </c>
      <c r="G150" s="51"/>
    </row>
    <row r="151" spans="1:7" ht="21">
      <c r="A151" s="84"/>
      <c r="B151" s="59" t="s">
        <v>83</v>
      </c>
      <c r="C151" s="60" t="s">
        <v>76</v>
      </c>
      <c r="D151" s="63" t="s">
        <v>661</v>
      </c>
      <c r="E151" s="63" t="s">
        <v>3516</v>
      </c>
      <c r="F151" s="62" t="s">
        <v>1153</v>
      </c>
      <c r="G151" s="51"/>
    </row>
    <row r="152" spans="1:7" ht="21">
      <c r="A152" s="84"/>
      <c r="B152" s="59" t="s">
        <v>83</v>
      </c>
      <c r="C152" s="60" t="s">
        <v>76</v>
      </c>
      <c r="D152" s="63" t="s">
        <v>662</v>
      </c>
      <c r="E152" s="63" t="s">
        <v>3517</v>
      </c>
      <c r="F152" s="62" t="str">
        <f ca="1">IFERROR(__xludf.DUMMYFUNCTION("GOOGLETRANSLATE(E681, ""ja"",""en"")"),"unique")</f>
        <v>unique</v>
      </c>
      <c r="G152" s="51"/>
    </row>
    <row r="153" spans="1:7" ht="21">
      <c r="A153" s="84"/>
      <c r="B153" s="59" t="s">
        <v>83</v>
      </c>
      <c r="C153" s="60" t="s">
        <v>76</v>
      </c>
      <c r="D153" s="63" t="s">
        <v>663</v>
      </c>
      <c r="E153" s="63" t="s">
        <v>1600</v>
      </c>
      <c r="F153" s="62" t="str">
        <f ca="1">IFERROR(__xludf.DUMMYFUNCTION("GOOGLETRANSLATE(E133, ""ja"",""en"")"),"to change")</f>
        <v>to change</v>
      </c>
      <c r="G153" s="50"/>
    </row>
    <row r="154" spans="1:7" ht="21">
      <c r="A154" s="84"/>
      <c r="B154" s="59" t="s">
        <v>83</v>
      </c>
      <c r="C154" s="65" t="s">
        <v>76</v>
      </c>
      <c r="D154" s="61" t="s">
        <v>664</v>
      </c>
      <c r="E154" s="61" t="s">
        <v>1601</v>
      </c>
      <c r="F154" s="62" t="str">
        <f ca="1">IFERROR(__xludf.DUMMYFUNCTION("GOOGLETRANSLATE(E720, ""ja"",""en"")"),"reverse")</f>
        <v>reverse</v>
      </c>
      <c r="G154" s="51"/>
    </row>
    <row r="155" spans="1:7" ht="21">
      <c r="A155" s="84"/>
      <c r="B155" s="59" t="s">
        <v>83</v>
      </c>
      <c r="C155" s="65" t="s">
        <v>76</v>
      </c>
      <c r="D155" s="63" t="s">
        <v>665</v>
      </c>
      <c r="E155" s="63" t="s">
        <v>1602</v>
      </c>
      <c r="F155" s="62" t="str">
        <f ca="1">IFERROR(__xludf.DUMMYFUNCTION("GOOGLETRANSLATE(E721, ""ja"",""en"")"),"topic")</f>
        <v>topic</v>
      </c>
      <c r="G155" s="51"/>
    </row>
    <row r="156" spans="1:7" ht="21">
      <c r="A156" s="84"/>
      <c r="B156" s="59" t="s">
        <v>83</v>
      </c>
      <c r="C156" s="60" t="s">
        <v>194</v>
      </c>
      <c r="D156" s="63" t="s">
        <v>1154</v>
      </c>
      <c r="E156" s="63" t="s">
        <v>1155</v>
      </c>
      <c r="F156" s="62" t="s">
        <v>3645</v>
      </c>
      <c r="G156" s="51"/>
    </row>
    <row r="157" spans="1:7" ht="21">
      <c r="A157" s="84"/>
      <c r="B157" s="59" t="s">
        <v>83</v>
      </c>
      <c r="C157" s="65" t="s">
        <v>194</v>
      </c>
      <c r="D157" s="63" t="s">
        <v>1162</v>
      </c>
      <c r="E157" s="63" t="s">
        <v>1163</v>
      </c>
      <c r="F157" s="61" t="s">
        <v>785</v>
      </c>
      <c r="G157" s="51"/>
    </row>
    <row r="158" spans="1:7" ht="21">
      <c r="A158" s="84"/>
      <c r="B158" s="59" t="s">
        <v>83</v>
      </c>
      <c r="C158" s="65" t="s">
        <v>194</v>
      </c>
      <c r="D158" s="61" t="s">
        <v>666</v>
      </c>
      <c r="E158" s="63" t="s">
        <v>1603</v>
      </c>
      <c r="F158" s="62" t="s">
        <v>1161</v>
      </c>
      <c r="G158" s="51"/>
    </row>
    <row r="159" spans="1:7" ht="21">
      <c r="A159" s="84"/>
      <c r="B159" s="59" t="s">
        <v>83</v>
      </c>
      <c r="C159" s="60" t="s">
        <v>197</v>
      </c>
      <c r="D159" s="63" t="s">
        <v>1156</v>
      </c>
      <c r="E159" s="63" t="s">
        <v>1157</v>
      </c>
      <c r="F159" s="62" t="str">
        <f ca="1">IFERROR(__xludf.DUMMYFUNCTION("GOOGLETRANSLATE(E718, ""ja"",""en"")"),"to contribute")</f>
        <v>to contribute</v>
      </c>
      <c r="G159" s="50"/>
    </row>
    <row r="160" spans="1:7" ht="21">
      <c r="A160" s="84"/>
      <c r="B160" s="59" t="s">
        <v>83</v>
      </c>
      <c r="C160" s="60" t="s">
        <v>204</v>
      </c>
      <c r="D160" s="63" t="s">
        <v>1158</v>
      </c>
      <c r="E160" s="63" t="s">
        <v>1159</v>
      </c>
      <c r="F160" s="62" t="s">
        <v>1318</v>
      </c>
      <c r="G160" s="51"/>
    </row>
    <row r="161" spans="1:7" ht="21">
      <c r="A161" s="84"/>
      <c r="B161" s="59" t="s">
        <v>83</v>
      </c>
      <c r="C161" s="60" t="s">
        <v>204</v>
      </c>
      <c r="D161" s="63" t="s">
        <v>667</v>
      </c>
      <c r="E161" s="63" t="s">
        <v>1604</v>
      </c>
      <c r="F161" s="62" t="str">
        <f ca="1">IFERROR(__xludf.DUMMYFUNCTION("GOOGLETRANSLATE(E664, ""ja"",""en"")"),"legitimacy")</f>
        <v>legitimacy</v>
      </c>
      <c r="G161" s="51"/>
    </row>
    <row r="162" spans="1:7" ht="21">
      <c r="A162" s="84"/>
      <c r="B162" s="59" t="s">
        <v>83</v>
      </c>
      <c r="C162" s="65" t="s">
        <v>204</v>
      </c>
      <c r="D162" s="63" t="s">
        <v>1160</v>
      </c>
      <c r="E162" s="63" t="s">
        <v>1160</v>
      </c>
      <c r="F162" s="62" t="str">
        <f ca="1">IFERROR(__xludf.DUMMYFUNCTION("GOOGLETRANSLATE(E682, ""ja"",""en"")"),"to stick to")</f>
        <v>to stick to</v>
      </c>
      <c r="G162" s="51"/>
    </row>
    <row r="163" spans="1:7" ht="21">
      <c r="A163" s="84"/>
      <c r="B163" s="59" t="s">
        <v>83</v>
      </c>
      <c r="C163" s="65" t="s">
        <v>204</v>
      </c>
      <c r="D163" s="61" t="s">
        <v>319</v>
      </c>
      <c r="E163" s="61" t="s">
        <v>1499</v>
      </c>
      <c r="F163" s="62" t="str">
        <f ca="1">IFERROR(__xludf.DUMMYFUNCTION("GOOGLETRANSLATE(E47, ""ja"",""en"")"),"various")</f>
        <v>various</v>
      </c>
      <c r="G163" s="51"/>
    </row>
    <row r="164" spans="1:7" ht="21">
      <c r="A164" s="84"/>
      <c r="B164" s="59" t="s">
        <v>83</v>
      </c>
      <c r="C164" s="65" t="s">
        <v>204</v>
      </c>
      <c r="D164" s="63" t="s">
        <v>668</v>
      </c>
      <c r="E164" s="63" t="s">
        <v>1605</v>
      </c>
      <c r="F164" s="62" t="str">
        <f ca="1">IFERROR(__xludf.DUMMYFUNCTION("GOOGLETRANSLATE(E133, ""ja"",""en"")"),"change")</f>
        <v>change</v>
      </c>
      <c r="G164" s="51"/>
    </row>
    <row r="165" spans="1:7" ht="21">
      <c r="A165" s="84"/>
      <c r="B165" s="59" t="s">
        <v>83</v>
      </c>
      <c r="C165" s="65" t="s">
        <v>669</v>
      </c>
      <c r="D165" s="63" t="s">
        <v>1165</v>
      </c>
      <c r="E165" s="63" t="s">
        <v>1166</v>
      </c>
      <c r="F165" s="61" t="s">
        <v>1164</v>
      </c>
      <c r="G165" s="51"/>
    </row>
    <row r="166" spans="1:7" ht="21">
      <c r="A166" s="84"/>
      <c r="B166" s="59" t="s">
        <v>83</v>
      </c>
      <c r="C166" s="65" t="s">
        <v>669</v>
      </c>
      <c r="D166" s="63" t="s">
        <v>1167</v>
      </c>
      <c r="E166" s="63" t="s">
        <v>1168</v>
      </c>
      <c r="F166" s="61" t="s">
        <v>1169</v>
      </c>
      <c r="G166" s="51"/>
    </row>
    <row r="167" spans="1:7" ht="21">
      <c r="A167" s="84"/>
      <c r="B167" s="59" t="s">
        <v>83</v>
      </c>
      <c r="C167" s="65" t="s">
        <v>670</v>
      </c>
      <c r="D167" s="63" t="s">
        <v>82</v>
      </c>
      <c r="E167" s="63" t="s">
        <v>1606</v>
      </c>
      <c r="F167" s="62" t="str">
        <f ca="1">IFERROR(__xludf.DUMMYFUNCTION("GOOGLETRANSLATE(E171, ""ja"",""en"")"),"appearance")</f>
        <v>appearance</v>
      </c>
      <c r="G167" s="51"/>
    </row>
    <row r="168" spans="1:7" ht="21">
      <c r="A168" s="84"/>
      <c r="B168" s="59" t="s">
        <v>83</v>
      </c>
      <c r="C168" s="65" t="s">
        <v>670</v>
      </c>
      <c r="D168" s="63" t="s">
        <v>671</v>
      </c>
      <c r="E168" s="63" t="s">
        <v>1607</v>
      </c>
      <c r="F168" s="61" t="s">
        <v>1170</v>
      </c>
      <c r="G168" s="51"/>
    </row>
    <row r="169" spans="1:7" ht="21">
      <c r="A169" s="84"/>
      <c r="B169" s="59" t="s">
        <v>83</v>
      </c>
      <c r="C169" s="65" t="s">
        <v>670</v>
      </c>
      <c r="D169" s="61" t="s">
        <v>1171</v>
      </c>
      <c r="E169" s="61" t="s">
        <v>1172</v>
      </c>
      <c r="F169" s="62" t="s">
        <v>1691</v>
      </c>
      <c r="G169" s="51"/>
    </row>
    <row r="170" spans="1:7" ht="42">
      <c r="A170" s="84"/>
      <c r="B170" s="59" t="s">
        <v>83</v>
      </c>
      <c r="C170" s="65" t="s">
        <v>672</v>
      </c>
      <c r="D170" s="63" t="s">
        <v>673</v>
      </c>
      <c r="E170" s="63" t="s">
        <v>1608</v>
      </c>
      <c r="F170" s="62" t="s">
        <v>1496</v>
      </c>
      <c r="G170" s="51"/>
    </row>
    <row r="171" spans="1:7" ht="21">
      <c r="A171" s="84"/>
      <c r="B171" s="59" t="s">
        <v>83</v>
      </c>
      <c r="C171" s="65" t="s">
        <v>672</v>
      </c>
      <c r="D171" s="63" t="s">
        <v>674</v>
      </c>
      <c r="E171" s="63" t="s">
        <v>1609</v>
      </c>
      <c r="F171" s="61" t="s">
        <v>1173</v>
      </c>
      <c r="G171" s="51"/>
    </row>
    <row r="172" spans="1:7" ht="21">
      <c r="A172" s="84"/>
      <c r="B172" s="59" t="s">
        <v>83</v>
      </c>
      <c r="C172" s="65" t="s">
        <v>672</v>
      </c>
      <c r="D172" s="61" t="s">
        <v>1174</v>
      </c>
      <c r="E172" s="61" t="s">
        <v>1175</v>
      </c>
      <c r="F172" s="61" t="s">
        <v>1176</v>
      </c>
      <c r="G172" s="51"/>
    </row>
    <row r="173" spans="1:7" ht="21">
      <c r="A173" s="85"/>
      <c r="B173" s="59" t="s">
        <v>83</v>
      </c>
      <c r="C173" s="65" t="s">
        <v>672</v>
      </c>
      <c r="D173" s="63" t="s">
        <v>1177</v>
      </c>
      <c r="E173" s="63" t="s">
        <v>1178</v>
      </c>
      <c r="F173" s="61" t="s">
        <v>1179</v>
      </c>
      <c r="G173" s="51"/>
    </row>
  </sheetData>
  <autoFilter ref="A1:H173" xr:uid="{86430C52-BC2C-4958-89E2-CEADBCF590DF}"/>
  <mergeCells count="1">
    <mergeCell ref="A2:A173"/>
  </mergeCells>
  <phoneticPr fontId="2"/>
  <pageMargins left="0.23622047244094491" right="0.23622047244094491" top="0.15748031496062992" bottom="0.15748031496062992" header="0.31496062992125984" footer="0.31496062992125984"/>
  <pageSetup paperSize="9" scale="8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93DB2-1B7B-4FFE-BCDA-9955CFBABB19}">
  <dimension ref="A1:F164"/>
  <sheetViews>
    <sheetView zoomScale="70" zoomScaleNormal="70" workbookViewId="0">
      <pane ySplit="1" topLeftCell="A2" activePane="bottomLeft" state="frozen"/>
      <selection pane="bottomLeft" activeCell="F29" sqref="F29"/>
    </sheetView>
  </sheetViews>
  <sheetFormatPr baseColWidth="10" defaultColWidth="11.28515625" defaultRowHeight="20"/>
  <cols>
    <col min="1" max="1" width="7" style="2" customWidth="1"/>
    <col min="2" max="3" width="11.28515625" style="2"/>
    <col min="4" max="4" width="17.42578125" style="2" customWidth="1"/>
    <col min="5" max="5" width="22.42578125" style="2" customWidth="1"/>
    <col min="6" max="6" width="25.42578125" style="2" customWidth="1"/>
    <col min="7" max="16384" width="11.28515625" style="2"/>
  </cols>
  <sheetData>
    <row r="1" spans="1:6" s="10" customFormat="1" ht="17">
      <c r="A1" s="72" t="s">
        <v>0</v>
      </c>
      <c r="B1" s="72" t="s">
        <v>1</v>
      </c>
      <c r="C1" s="73" t="s">
        <v>3747</v>
      </c>
      <c r="D1" s="72" t="s">
        <v>3740</v>
      </c>
      <c r="E1" s="72" t="s">
        <v>3741</v>
      </c>
      <c r="F1" s="72" t="s">
        <v>3742</v>
      </c>
    </row>
    <row r="2" spans="1:6" ht="21">
      <c r="A2" s="83" t="s">
        <v>1610</v>
      </c>
      <c r="B2" s="59"/>
      <c r="C2" s="60" t="s">
        <v>1611</v>
      </c>
      <c r="D2" s="61" t="s">
        <v>1612</v>
      </c>
      <c r="E2" s="61" t="s">
        <v>1781</v>
      </c>
      <c r="F2" s="62" t="s">
        <v>1180</v>
      </c>
    </row>
    <row r="3" spans="1:6" ht="21">
      <c r="A3" s="84"/>
      <c r="B3" s="59" t="s">
        <v>1613</v>
      </c>
      <c r="C3" s="60" t="s">
        <v>1614</v>
      </c>
      <c r="D3" s="63" t="s">
        <v>1615</v>
      </c>
      <c r="E3" s="63" t="s">
        <v>1591</v>
      </c>
      <c r="F3" s="62" t="str">
        <f ca="1">IFERROR(__xludf.DUMMYFUNCTION("GOOGLETRANSLATE(E654, ""ja"",""en"")"),"animation")</f>
        <v>animation</v>
      </c>
    </row>
    <row r="4" spans="1:6" ht="21">
      <c r="A4" s="84"/>
      <c r="B4" s="59" t="s">
        <v>1613</v>
      </c>
      <c r="C4" s="60" t="s">
        <v>1614</v>
      </c>
      <c r="D4" s="63" t="s">
        <v>1616</v>
      </c>
      <c r="E4" s="63" t="s">
        <v>1782</v>
      </c>
      <c r="F4" s="62" t="str">
        <f ca="1">IFERROR(__xludf.DUMMYFUNCTION("GOOGLETRANSLATE(E731, ""ja"",""en"")"),"manga")</f>
        <v>manga</v>
      </c>
    </row>
    <row r="5" spans="1:6" ht="21">
      <c r="A5" s="84"/>
      <c r="B5" s="59" t="s">
        <v>8</v>
      </c>
      <c r="C5" s="60" t="s">
        <v>1617</v>
      </c>
      <c r="D5" s="63" t="s">
        <v>1618</v>
      </c>
      <c r="E5" s="63" t="s">
        <v>1783</v>
      </c>
      <c r="F5" s="62" t="s">
        <v>3646</v>
      </c>
    </row>
    <row r="6" spans="1:6" ht="21">
      <c r="A6" s="84"/>
      <c r="B6" s="59" t="s">
        <v>8</v>
      </c>
      <c r="C6" s="60" t="s">
        <v>1619</v>
      </c>
      <c r="D6" s="63" t="s">
        <v>1620</v>
      </c>
      <c r="E6" s="63" t="s">
        <v>1592</v>
      </c>
      <c r="F6" s="62" t="s">
        <v>3643</v>
      </c>
    </row>
    <row r="7" spans="1:6" ht="21">
      <c r="A7" s="84"/>
      <c r="B7" s="59" t="s">
        <v>8</v>
      </c>
      <c r="C7" s="60" t="s">
        <v>1619</v>
      </c>
      <c r="D7" s="63" t="s">
        <v>864</v>
      </c>
      <c r="E7" s="63" t="s">
        <v>865</v>
      </c>
      <c r="F7" s="62" t="s">
        <v>866</v>
      </c>
    </row>
    <row r="8" spans="1:6" ht="21">
      <c r="A8" s="84"/>
      <c r="B8" s="59" t="s">
        <v>8</v>
      </c>
      <c r="C8" s="60" t="s">
        <v>1621</v>
      </c>
      <c r="D8" s="63" t="s">
        <v>1622</v>
      </c>
      <c r="E8" s="63" t="s">
        <v>1784</v>
      </c>
      <c r="F8" s="62" t="str">
        <f ca="1">IFERROR(__xludf.DUMMYFUNCTION("GOOGLETRANSLATE(E873, ""ja"",""en"")"),"scene")</f>
        <v>scene</v>
      </c>
    </row>
    <row r="9" spans="1:6" ht="21">
      <c r="A9" s="84"/>
      <c r="B9" s="59" t="s">
        <v>8</v>
      </c>
      <c r="C9" s="60" t="s">
        <v>1621</v>
      </c>
      <c r="D9" s="63" t="s">
        <v>1623</v>
      </c>
      <c r="E9" s="63" t="s">
        <v>1624</v>
      </c>
      <c r="F9" s="62" t="s">
        <v>981</v>
      </c>
    </row>
    <row r="10" spans="1:6" ht="21">
      <c r="A10" s="84"/>
      <c r="B10" s="59" t="s">
        <v>8</v>
      </c>
      <c r="C10" s="65" t="s">
        <v>1621</v>
      </c>
      <c r="D10" s="63" t="s">
        <v>1625</v>
      </c>
      <c r="E10" s="63" t="s">
        <v>1785</v>
      </c>
      <c r="F10" s="87" t="s">
        <v>3764</v>
      </c>
    </row>
    <row r="11" spans="1:6" ht="21">
      <c r="A11" s="84"/>
      <c r="B11" s="59" t="s">
        <v>8</v>
      </c>
      <c r="C11" s="60" t="s">
        <v>1626</v>
      </c>
      <c r="D11" s="63" t="s">
        <v>1627</v>
      </c>
      <c r="E11" s="63" t="s">
        <v>1786</v>
      </c>
      <c r="F11" s="62" t="s">
        <v>711</v>
      </c>
    </row>
    <row r="12" spans="1:6" ht="21">
      <c r="A12" s="84"/>
      <c r="B12" s="59" t="s">
        <v>8</v>
      </c>
      <c r="C12" s="60" t="s">
        <v>1626</v>
      </c>
      <c r="D12" s="63" t="s">
        <v>797</v>
      </c>
      <c r="E12" s="63" t="s">
        <v>798</v>
      </c>
      <c r="F12" s="62" t="s">
        <v>1628</v>
      </c>
    </row>
    <row r="13" spans="1:6" ht="21">
      <c r="A13" s="84"/>
      <c r="B13" s="59" t="s">
        <v>8</v>
      </c>
      <c r="C13" s="60" t="s">
        <v>1629</v>
      </c>
      <c r="D13" s="63" t="s">
        <v>1630</v>
      </c>
      <c r="E13" s="63" t="s">
        <v>1787</v>
      </c>
      <c r="F13" s="62" t="str">
        <f ca="1">IFERROR(__xludf.DUMMYFUNCTION("GOOGLETRANSLATE(E759, ""ja"",""en"")"),"feeling of happiness")</f>
        <v>feeling of happiness</v>
      </c>
    </row>
    <row r="14" spans="1:6" ht="21">
      <c r="A14" s="84"/>
      <c r="B14" s="59" t="s">
        <v>8</v>
      </c>
      <c r="C14" s="60" t="s">
        <v>1629</v>
      </c>
      <c r="D14" s="63" t="s">
        <v>1181</v>
      </c>
      <c r="E14" s="63" t="s">
        <v>1181</v>
      </c>
      <c r="F14" s="62" t="s">
        <v>3647</v>
      </c>
    </row>
    <row r="15" spans="1:6" ht="21">
      <c r="A15" s="84"/>
      <c r="B15" s="59" t="s">
        <v>8</v>
      </c>
      <c r="C15" s="60" t="s">
        <v>1629</v>
      </c>
      <c r="D15" s="63" t="s">
        <v>1631</v>
      </c>
      <c r="E15" s="63" t="s">
        <v>1788</v>
      </c>
      <c r="F15" s="61" t="s">
        <v>1182</v>
      </c>
    </row>
    <row r="16" spans="1:6" ht="21">
      <c r="A16" s="84"/>
      <c r="B16" s="59" t="s">
        <v>8</v>
      </c>
      <c r="C16" s="60" t="s">
        <v>1629</v>
      </c>
      <c r="D16" s="61" t="s">
        <v>1632</v>
      </c>
      <c r="E16" s="61" t="s">
        <v>1789</v>
      </c>
      <c r="F16" s="62" t="str">
        <f ca="1">IFERROR(__xludf.DUMMYFUNCTION("GOOGLETRANSLATE(E762, ""ja"",""en"")"),"happy")</f>
        <v>happy</v>
      </c>
    </row>
    <row r="17" spans="1:6" ht="21">
      <c r="A17" s="84"/>
      <c r="B17" s="59" t="s">
        <v>8</v>
      </c>
      <c r="C17" s="60" t="s">
        <v>1633</v>
      </c>
      <c r="D17" s="63" t="s">
        <v>1183</v>
      </c>
      <c r="E17" s="63" t="s">
        <v>1183</v>
      </c>
      <c r="F17" s="62" t="str">
        <f ca="1">IFERROR(__xludf.DUMMYFUNCTION("GOOGLETRANSLATE(E763, ""ja"",""en"")"),"since")</f>
        <v>since</v>
      </c>
    </row>
    <row r="18" spans="1:6" ht="21">
      <c r="A18" s="84"/>
      <c r="B18" s="59" t="s">
        <v>8</v>
      </c>
      <c r="C18" s="60" t="s">
        <v>1633</v>
      </c>
      <c r="D18" s="63" t="s">
        <v>1634</v>
      </c>
      <c r="E18" s="63" t="s">
        <v>1790</v>
      </c>
      <c r="F18" s="62" t="s">
        <v>3623</v>
      </c>
    </row>
    <row r="19" spans="1:6" ht="21">
      <c r="A19" s="84"/>
      <c r="B19" s="59" t="s">
        <v>8</v>
      </c>
      <c r="C19" s="60" t="s">
        <v>1633</v>
      </c>
      <c r="D19" s="63" t="s">
        <v>1635</v>
      </c>
      <c r="E19" s="63" t="s">
        <v>1791</v>
      </c>
      <c r="F19" s="62" t="s">
        <v>3648</v>
      </c>
    </row>
    <row r="20" spans="1:6" ht="21">
      <c r="A20" s="84"/>
      <c r="B20" s="59" t="s">
        <v>8</v>
      </c>
      <c r="C20" s="60" t="s">
        <v>1633</v>
      </c>
      <c r="D20" s="63" t="s">
        <v>1636</v>
      </c>
      <c r="E20" s="63" t="s">
        <v>1792</v>
      </c>
      <c r="F20" s="62" t="s">
        <v>1185</v>
      </c>
    </row>
    <row r="21" spans="1:6" ht="21">
      <c r="A21" s="84"/>
      <c r="B21" s="59" t="s">
        <v>8</v>
      </c>
      <c r="C21" s="60" t="s">
        <v>1633</v>
      </c>
      <c r="D21" s="63" t="s">
        <v>1637</v>
      </c>
      <c r="E21" s="63" t="s">
        <v>3492</v>
      </c>
      <c r="F21" s="62" t="s">
        <v>1184</v>
      </c>
    </row>
    <row r="22" spans="1:6" ht="21">
      <c r="A22" s="84"/>
      <c r="B22" s="59" t="s">
        <v>8</v>
      </c>
      <c r="C22" s="60" t="s">
        <v>1638</v>
      </c>
      <c r="D22" s="63" t="s">
        <v>1639</v>
      </c>
      <c r="E22" s="63" t="s">
        <v>1793</v>
      </c>
      <c r="F22" s="61" t="s">
        <v>1186</v>
      </c>
    </row>
    <row r="23" spans="1:6" ht="21">
      <c r="A23" s="84"/>
      <c r="B23" s="59" t="s">
        <v>8</v>
      </c>
      <c r="C23" s="60" t="s">
        <v>1642</v>
      </c>
      <c r="D23" s="63" t="s">
        <v>1643</v>
      </c>
      <c r="E23" s="63" t="s">
        <v>1794</v>
      </c>
      <c r="F23" s="62" t="s">
        <v>755</v>
      </c>
    </row>
    <row r="24" spans="1:6" ht="21">
      <c r="A24" s="84"/>
      <c r="B24" s="59" t="s">
        <v>8</v>
      </c>
      <c r="C24" s="60" t="s">
        <v>1642</v>
      </c>
      <c r="D24" s="63" t="s">
        <v>1644</v>
      </c>
      <c r="E24" s="63" t="s">
        <v>3493</v>
      </c>
      <c r="F24" s="62" t="str">
        <f ca="1">IFERROR(__xludf.DUMMYFUNCTION("GOOGLETRANSLATE(E792, ""ja"",""en"")"),"scene")</f>
        <v>scene</v>
      </c>
    </row>
    <row r="25" spans="1:6" ht="21">
      <c r="A25" s="84"/>
      <c r="B25" s="59" t="s">
        <v>8</v>
      </c>
      <c r="C25" s="60" t="s">
        <v>1645</v>
      </c>
      <c r="D25" s="63" t="s">
        <v>1646</v>
      </c>
      <c r="E25" s="63" t="s">
        <v>1796</v>
      </c>
      <c r="F25" s="62" t="str">
        <f ca="1">IFERROR(__xludf.DUMMYFUNCTION("GOOGLETRANSLATE(E766, ""ja"",""en"")"),"love")</f>
        <v>love</v>
      </c>
    </row>
    <row r="26" spans="1:6" ht="21">
      <c r="A26" s="84"/>
      <c r="B26" s="59" t="s">
        <v>8</v>
      </c>
      <c r="C26" s="60" t="s">
        <v>1645</v>
      </c>
      <c r="D26" s="63" t="s">
        <v>1647</v>
      </c>
      <c r="E26" s="63" t="s">
        <v>1797</v>
      </c>
      <c r="F26" s="62" t="str">
        <f ca="1">IFERROR(__xludf.DUMMYFUNCTION("GOOGLETRANSLATE(E733, ""ja"",""en"")"),"symbol")</f>
        <v>symbol</v>
      </c>
    </row>
    <row r="27" spans="1:6" ht="21">
      <c r="A27" s="84"/>
      <c r="B27" s="59" t="s">
        <v>8</v>
      </c>
      <c r="C27" s="60" t="s">
        <v>1648</v>
      </c>
      <c r="D27" s="63" t="s">
        <v>1649</v>
      </c>
      <c r="E27" s="63" t="s">
        <v>1650</v>
      </c>
      <c r="F27" s="62" t="str">
        <f ca="1">IFERROR(__xludf.DUMMYFUNCTION("GOOGLETRANSLATE(E734, ""ja"",""en"")"),"Miyazaki Hayao")</f>
        <v>Miyazaki Hayao</v>
      </c>
    </row>
    <row r="28" spans="1:6" ht="21">
      <c r="A28" s="84"/>
      <c r="B28" s="59" t="s">
        <v>8</v>
      </c>
      <c r="C28" s="60" t="s">
        <v>1648</v>
      </c>
      <c r="D28" s="63" t="s">
        <v>1651</v>
      </c>
      <c r="E28" s="63" t="s">
        <v>1798</v>
      </c>
      <c r="F28" s="62" t="s">
        <v>1189</v>
      </c>
    </row>
    <row r="29" spans="1:6" ht="21">
      <c r="A29" s="84"/>
      <c r="B29" s="59" t="s">
        <v>8</v>
      </c>
      <c r="C29" s="60" t="s">
        <v>1648</v>
      </c>
      <c r="D29" s="63" t="s">
        <v>1652</v>
      </c>
      <c r="E29" s="63" t="s">
        <v>1799</v>
      </c>
      <c r="F29" s="61" t="s">
        <v>3767</v>
      </c>
    </row>
    <row r="30" spans="1:6" ht="21">
      <c r="A30" s="84"/>
      <c r="B30" s="59" t="s">
        <v>8</v>
      </c>
      <c r="C30" s="65" t="s">
        <v>1655</v>
      </c>
      <c r="D30" s="63" t="s">
        <v>1653</v>
      </c>
      <c r="E30" s="63" t="s">
        <v>1800</v>
      </c>
      <c r="F30" s="61" t="s">
        <v>1654</v>
      </c>
    </row>
    <row r="31" spans="1:6" ht="21">
      <c r="A31" s="84"/>
      <c r="B31" s="59" t="s">
        <v>8</v>
      </c>
      <c r="C31" s="60" t="s">
        <v>1655</v>
      </c>
      <c r="D31" s="63" t="s">
        <v>1656</v>
      </c>
      <c r="E31" s="63" t="s">
        <v>1801</v>
      </c>
      <c r="F31" s="62" t="str">
        <f ca="1">IFERROR(__xludf.DUMMYFUNCTION("GOOGLETRANSLATE(E768, ""ja"",""en"")"),"girl")</f>
        <v>girl</v>
      </c>
    </row>
    <row r="32" spans="1:6" ht="21">
      <c r="A32" s="84"/>
      <c r="B32" s="59" t="s">
        <v>8</v>
      </c>
      <c r="C32" s="60" t="s">
        <v>1657</v>
      </c>
      <c r="D32" s="63" t="s">
        <v>1190</v>
      </c>
      <c r="E32" s="63" t="s">
        <v>1190</v>
      </c>
      <c r="F32" s="62" t="str">
        <f ca="1">IFERROR(__xludf.DUMMYFUNCTION("GOOGLETRANSLATE(E769, ""ja"",""en"")"),"to put in")</f>
        <v>to put in</v>
      </c>
    </row>
    <row r="33" spans="1:6" ht="21">
      <c r="A33" s="84"/>
      <c r="B33" s="59" t="s">
        <v>8</v>
      </c>
      <c r="C33" s="65" t="s">
        <v>1657</v>
      </c>
      <c r="D33" s="63" t="s">
        <v>1187</v>
      </c>
      <c r="E33" s="63" t="s">
        <v>1188</v>
      </c>
      <c r="F33" s="62" t="str">
        <f ca="1">IFERROR(__xludf.DUMMYFUNCTION("GOOGLETRANSLATE(E736, ""ja"",""en"")"),"to hand over")</f>
        <v>to hand over</v>
      </c>
    </row>
    <row r="34" spans="1:6" ht="21">
      <c r="A34" s="84"/>
      <c r="B34" s="59" t="s">
        <v>8</v>
      </c>
      <c r="C34" s="60" t="s">
        <v>1658</v>
      </c>
      <c r="D34" s="61" t="s">
        <v>1659</v>
      </c>
      <c r="E34" s="63" t="s">
        <v>1802</v>
      </c>
      <c r="F34" s="62" t="str">
        <f ca="1">IFERROR(__xludf.DUMMYFUNCTION("GOOGLETRANSLATE(E737, ""ja"",""en"")"),"simple")</f>
        <v>simple</v>
      </c>
    </row>
    <row r="35" spans="1:6" ht="21">
      <c r="A35" s="84"/>
      <c r="B35" s="59" t="s">
        <v>8</v>
      </c>
      <c r="C35" s="60" t="s">
        <v>1658</v>
      </c>
      <c r="D35" s="63" t="s">
        <v>1660</v>
      </c>
      <c r="E35" s="63" t="s">
        <v>1803</v>
      </c>
      <c r="F35" s="62" t="s">
        <v>1191</v>
      </c>
    </row>
    <row r="36" spans="1:6" ht="21">
      <c r="A36" s="84"/>
      <c r="B36" s="59" t="s">
        <v>8</v>
      </c>
      <c r="C36" s="60" t="s">
        <v>1661</v>
      </c>
      <c r="D36" s="63" t="s">
        <v>1662</v>
      </c>
      <c r="E36" s="63" t="s">
        <v>1804</v>
      </c>
      <c r="F36" s="62" t="str">
        <f ca="1">IFERROR(__xludf.DUMMYFUNCTION("GOOGLETRANSLATE(E738, ""ja"",""en"")"),"middle school students")</f>
        <v>middle school students</v>
      </c>
    </row>
    <row r="37" spans="1:6" ht="21">
      <c r="A37" s="84"/>
      <c r="B37" s="59" t="s">
        <v>8</v>
      </c>
      <c r="C37" s="60" t="s">
        <v>1663</v>
      </c>
      <c r="D37" s="63" t="s">
        <v>1664</v>
      </c>
      <c r="E37" s="63" t="s">
        <v>919</v>
      </c>
      <c r="F37" s="62" t="s">
        <v>1665</v>
      </c>
    </row>
    <row r="38" spans="1:6" ht="21">
      <c r="A38" s="84"/>
      <c r="B38" s="59" t="s">
        <v>8</v>
      </c>
      <c r="C38" s="60" t="s">
        <v>1663</v>
      </c>
      <c r="D38" s="63" t="s">
        <v>1192</v>
      </c>
      <c r="E38" s="63" t="s">
        <v>1193</v>
      </c>
      <c r="F38" s="62" t="s">
        <v>3649</v>
      </c>
    </row>
    <row r="39" spans="1:6" ht="21">
      <c r="A39" s="84"/>
      <c r="B39" s="59" t="s">
        <v>8</v>
      </c>
      <c r="C39" s="60" t="s">
        <v>1666</v>
      </c>
      <c r="D39" s="63" t="s">
        <v>1667</v>
      </c>
      <c r="E39" s="63" t="s">
        <v>1566</v>
      </c>
      <c r="F39" s="62" t="str">
        <f ca="1">IFERROR(__xludf.DUMMYFUNCTION("GOOGLETRANSLATE(E694, ""ja"",""en"")"),"seaweed")</f>
        <v>seaweed</v>
      </c>
    </row>
    <row r="40" spans="1:6" ht="21">
      <c r="A40" s="84"/>
      <c r="B40" s="59" t="s">
        <v>8</v>
      </c>
      <c r="C40" s="60" t="s">
        <v>1666</v>
      </c>
      <c r="D40" s="63" t="s">
        <v>1668</v>
      </c>
      <c r="E40" s="63" t="s">
        <v>3494</v>
      </c>
      <c r="F40" s="61" t="s">
        <v>1194</v>
      </c>
    </row>
    <row r="41" spans="1:6" ht="21">
      <c r="A41" s="84"/>
      <c r="B41" s="59" t="s">
        <v>8</v>
      </c>
      <c r="C41" s="60" t="s">
        <v>1666</v>
      </c>
      <c r="D41" s="61" t="s">
        <v>1171</v>
      </c>
      <c r="E41" s="61" t="s">
        <v>1172</v>
      </c>
      <c r="F41" s="62" t="s">
        <v>978</v>
      </c>
    </row>
    <row r="42" spans="1:6" ht="21">
      <c r="A42" s="84"/>
      <c r="B42" s="59" t="s">
        <v>8</v>
      </c>
      <c r="C42" s="60" t="s">
        <v>1666</v>
      </c>
      <c r="D42" s="63" t="s">
        <v>1669</v>
      </c>
      <c r="E42" s="63" t="s">
        <v>1805</v>
      </c>
      <c r="F42" s="61" t="s">
        <v>1195</v>
      </c>
    </row>
    <row r="43" spans="1:6" ht="21">
      <c r="A43" s="84"/>
      <c r="B43" s="59" t="s">
        <v>8</v>
      </c>
      <c r="C43" s="60" t="s">
        <v>1666</v>
      </c>
      <c r="D43" s="63" t="s">
        <v>1670</v>
      </c>
      <c r="E43" s="63" t="s">
        <v>1806</v>
      </c>
      <c r="F43" s="62" t="str">
        <f ca="1">IFERROR(__xludf.DUMMYFUNCTION("GOOGLETRANSLATE(E566, ""ja"",""en"")"),"smile")</f>
        <v>smile</v>
      </c>
    </row>
    <row r="44" spans="1:6" ht="21">
      <c r="A44" s="84"/>
      <c r="B44" s="59" t="s">
        <v>8</v>
      </c>
      <c r="C44" s="60" t="s">
        <v>1671</v>
      </c>
      <c r="D44" s="63" t="s">
        <v>1196</v>
      </c>
      <c r="E44" s="63" t="s">
        <v>1197</v>
      </c>
      <c r="F44" s="62" t="s">
        <v>3650</v>
      </c>
    </row>
    <row r="45" spans="1:6" ht="21">
      <c r="A45" s="84"/>
      <c r="B45" s="59" t="s">
        <v>8</v>
      </c>
      <c r="C45" s="60" t="s">
        <v>1671</v>
      </c>
      <c r="D45" s="63" t="s">
        <v>1198</v>
      </c>
      <c r="E45" s="63" t="s">
        <v>1199</v>
      </c>
      <c r="F45" s="62" t="s">
        <v>1204</v>
      </c>
    </row>
    <row r="46" spans="1:6" ht="42">
      <c r="A46" s="84"/>
      <c r="B46" s="59" t="s">
        <v>8</v>
      </c>
      <c r="C46" s="60" t="s">
        <v>1671</v>
      </c>
      <c r="D46" s="63" t="s">
        <v>1200</v>
      </c>
      <c r="E46" s="63" t="s">
        <v>1201</v>
      </c>
      <c r="F46" s="62" t="s">
        <v>3651</v>
      </c>
    </row>
    <row r="47" spans="1:6" ht="21">
      <c r="A47" s="84"/>
      <c r="B47" s="59" t="s">
        <v>8</v>
      </c>
      <c r="C47" s="60" t="s">
        <v>1673</v>
      </c>
      <c r="D47" s="63" t="s">
        <v>1202</v>
      </c>
      <c r="E47" s="63" t="s">
        <v>1203</v>
      </c>
      <c r="F47" s="61" t="s">
        <v>1205</v>
      </c>
    </row>
    <row r="48" spans="1:6" ht="21">
      <c r="A48" s="84"/>
      <c r="B48" s="59" t="s">
        <v>8</v>
      </c>
      <c r="C48" s="65" t="s">
        <v>1675</v>
      </c>
      <c r="D48" s="63" t="s">
        <v>1674</v>
      </c>
      <c r="E48" s="63" t="s">
        <v>1808</v>
      </c>
      <c r="F48" s="62" t="str">
        <f ca="1">IFERROR(__xludf.DUMMYFUNCTION("GOOGLETRANSLATE(E774, ""ja"",""en"")"),"story")</f>
        <v>story</v>
      </c>
    </row>
    <row r="49" spans="1:6" ht="21">
      <c r="A49" s="84"/>
      <c r="B49" s="59" t="s">
        <v>8</v>
      </c>
      <c r="C49" s="60" t="s">
        <v>1675</v>
      </c>
      <c r="D49" s="63" t="s">
        <v>1676</v>
      </c>
      <c r="E49" s="63" t="s">
        <v>1809</v>
      </c>
      <c r="F49" s="61" t="s">
        <v>1206</v>
      </c>
    </row>
    <row r="50" spans="1:6" ht="21">
      <c r="A50" s="84"/>
      <c r="B50" s="59" t="s">
        <v>1677</v>
      </c>
      <c r="C50" s="60" t="s">
        <v>1614</v>
      </c>
      <c r="D50" s="63" t="s">
        <v>1678</v>
      </c>
      <c r="E50" s="63" t="s">
        <v>1810</v>
      </c>
      <c r="F50" s="62" t="str">
        <f ca="1">IFERROR(__xludf.DUMMYFUNCTION("GOOGLETRANSLATE(E842, ""ja"",""en"")"),"drama")</f>
        <v>drama</v>
      </c>
    </row>
    <row r="51" spans="1:6" ht="21">
      <c r="A51" s="84"/>
      <c r="B51" s="59" t="s">
        <v>1677</v>
      </c>
      <c r="C51" s="60" t="s">
        <v>1614</v>
      </c>
      <c r="D51" s="61" t="s">
        <v>1611</v>
      </c>
      <c r="E51" s="63" t="s">
        <v>3495</v>
      </c>
      <c r="F51" s="62" t="s">
        <v>1207</v>
      </c>
    </row>
    <row r="52" spans="1:6" ht="21">
      <c r="A52" s="84"/>
      <c r="B52" s="59" t="s">
        <v>1677</v>
      </c>
      <c r="C52" s="60" t="s">
        <v>1617</v>
      </c>
      <c r="D52" s="63" t="s">
        <v>1679</v>
      </c>
      <c r="E52" s="63" t="s">
        <v>1811</v>
      </c>
      <c r="F52" s="61" t="s">
        <v>1208</v>
      </c>
    </row>
    <row r="53" spans="1:6" ht="21">
      <c r="A53" s="84"/>
      <c r="B53" s="59" t="s">
        <v>83</v>
      </c>
      <c r="C53" s="60" t="s">
        <v>1617</v>
      </c>
      <c r="D53" s="63" t="s">
        <v>1210</v>
      </c>
      <c r="E53" s="63" t="s">
        <v>1211</v>
      </c>
      <c r="F53" s="61" t="s">
        <v>1209</v>
      </c>
    </row>
    <row r="54" spans="1:6" ht="21">
      <c r="A54" s="84"/>
      <c r="B54" s="59" t="s">
        <v>83</v>
      </c>
      <c r="C54" s="60" t="s">
        <v>1617</v>
      </c>
      <c r="D54" s="63" t="s">
        <v>1680</v>
      </c>
      <c r="E54" s="63" t="s">
        <v>1812</v>
      </c>
      <c r="F54" s="88" t="s">
        <v>3765</v>
      </c>
    </row>
    <row r="55" spans="1:6" ht="21">
      <c r="A55" s="84"/>
      <c r="B55" s="59" t="s">
        <v>83</v>
      </c>
      <c r="C55" s="60" t="s">
        <v>1617</v>
      </c>
      <c r="D55" s="61" t="s">
        <v>1681</v>
      </c>
      <c r="E55" s="63" t="s">
        <v>1813</v>
      </c>
      <c r="F55" s="88" t="s">
        <v>3765</v>
      </c>
    </row>
    <row r="56" spans="1:6" ht="21">
      <c r="A56" s="84"/>
      <c r="B56" s="59" t="s">
        <v>83</v>
      </c>
      <c r="C56" s="60" t="s">
        <v>1617</v>
      </c>
      <c r="D56" s="63" t="s">
        <v>1682</v>
      </c>
      <c r="E56" s="63" t="s">
        <v>1814</v>
      </c>
      <c r="F56" s="61" t="s">
        <v>1212</v>
      </c>
    </row>
    <row r="57" spans="1:6" ht="21">
      <c r="A57" s="84"/>
      <c r="B57" s="59" t="s">
        <v>83</v>
      </c>
      <c r="C57" s="60" t="s">
        <v>1617</v>
      </c>
      <c r="D57" s="63" t="s">
        <v>1683</v>
      </c>
      <c r="E57" s="63" t="s">
        <v>1815</v>
      </c>
      <c r="F57" s="61" t="s">
        <v>3652</v>
      </c>
    </row>
    <row r="58" spans="1:6" ht="21">
      <c r="A58" s="84"/>
      <c r="B58" s="59" t="s">
        <v>83</v>
      </c>
      <c r="C58" s="60" t="s">
        <v>1617</v>
      </c>
      <c r="D58" s="63" t="s">
        <v>1684</v>
      </c>
      <c r="E58" s="63" t="s">
        <v>3496</v>
      </c>
      <c r="F58" s="61" t="s">
        <v>1213</v>
      </c>
    </row>
    <row r="59" spans="1:6" ht="21">
      <c r="A59" s="84"/>
      <c r="B59" s="59" t="s">
        <v>83</v>
      </c>
      <c r="C59" s="60" t="s">
        <v>1617</v>
      </c>
      <c r="D59" s="63" t="s">
        <v>795</v>
      </c>
      <c r="E59" s="63" t="s">
        <v>796</v>
      </c>
      <c r="F59" s="61" t="s">
        <v>703</v>
      </c>
    </row>
    <row r="60" spans="1:6" ht="21">
      <c r="A60" s="84"/>
      <c r="B60" s="59" t="s">
        <v>83</v>
      </c>
      <c r="C60" s="60" t="s">
        <v>1619</v>
      </c>
      <c r="D60" s="63" t="s">
        <v>1216</v>
      </c>
      <c r="E60" s="63" t="s">
        <v>1215</v>
      </c>
      <c r="F60" s="61" t="s">
        <v>1214</v>
      </c>
    </row>
    <row r="61" spans="1:6" ht="21">
      <c r="A61" s="84"/>
      <c r="B61" s="59" t="s">
        <v>83</v>
      </c>
      <c r="C61" s="60" t="s">
        <v>1619</v>
      </c>
      <c r="D61" s="63" t="s">
        <v>1686</v>
      </c>
      <c r="E61" s="63" t="s">
        <v>1816</v>
      </c>
      <c r="F61" s="62" t="str">
        <f ca="1">IFERROR(__xludf.DUMMYFUNCTION("GOOGLETRANSLATE(E880, ""ja"",""en"")"),"life")</f>
        <v>life</v>
      </c>
    </row>
    <row r="62" spans="1:6" ht="21">
      <c r="A62" s="84"/>
      <c r="B62" s="59" t="s">
        <v>83</v>
      </c>
      <c r="C62" s="60" t="s">
        <v>1619</v>
      </c>
      <c r="D62" s="61" t="s">
        <v>1687</v>
      </c>
      <c r="E62" s="61" t="s">
        <v>3653</v>
      </c>
      <c r="F62" s="62" t="str">
        <f ca="1">IFERROR(__xludf.DUMMYFUNCTION("GOOGLETRANSLATE(E890, ""ja"",""en"")"),"human")</f>
        <v>human</v>
      </c>
    </row>
    <row r="63" spans="1:6" ht="21">
      <c r="A63" s="84"/>
      <c r="B63" s="59" t="s">
        <v>83</v>
      </c>
      <c r="C63" s="60" t="s">
        <v>1621</v>
      </c>
      <c r="D63" s="61" t="s">
        <v>1217</v>
      </c>
      <c r="E63" s="63" t="s">
        <v>1218</v>
      </c>
      <c r="F63" s="62" t="s">
        <v>1688</v>
      </c>
    </row>
    <row r="64" spans="1:6" ht="21">
      <c r="A64" s="84"/>
      <c r="B64" s="59" t="s">
        <v>83</v>
      </c>
      <c r="C64" s="60" t="s">
        <v>1621</v>
      </c>
      <c r="D64" s="63" t="s">
        <v>1689</v>
      </c>
      <c r="E64" s="63" t="s">
        <v>1817</v>
      </c>
      <c r="F64" s="62" t="s">
        <v>3654</v>
      </c>
    </row>
    <row r="65" spans="1:6" ht="21">
      <c r="A65" s="84"/>
      <c r="B65" s="59" t="s">
        <v>83</v>
      </c>
      <c r="C65" s="60" t="s">
        <v>1621</v>
      </c>
      <c r="D65" s="61" t="s">
        <v>1221</v>
      </c>
      <c r="E65" s="61" t="s">
        <v>1220</v>
      </c>
      <c r="F65" s="62" t="s">
        <v>3655</v>
      </c>
    </row>
    <row r="66" spans="1:6" ht="21">
      <c r="A66" s="84"/>
      <c r="B66" s="59" t="s">
        <v>83</v>
      </c>
      <c r="C66" s="65" t="s">
        <v>1621</v>
      </c>
      <c r="D66" s="63" t="s">
        <v>1690</v>
      </c>
      <c r="E66" s="63" t="s">
        <v>1818</v>
      </c>
      <c r="F66" s="62" t="str">
        <f ca="1">IFERROR(__xludf.DUMMYFUNCTION("GOOGLETRANSLATE(E845, ""ja"",""en"")"),"connection")</f>
        <v>connection</v>
      </c>
    </row>
    <row r="67" spans="1:6" ht="21">
      <c r="A67" s="84"/>
      <c r="B67" s="59" t="s">
        <v>83</v>
      </c>
      <c r="C67" s="60" t="s">
        <v>1626</v>
      </c>
      <c r="D67" s="63" t="s">
        <v>1171</v>
      </c>
      <c r="E67" s="63" t="s">
        <v>1172</v>
      </c>
      <c r="F67" s="62" t="s">
        <v>1691</v>
      </c>
    </row>
    <row r="68" spans="1:6" ht="21">
      <c r="A68" s="84"/>
      <c r="B68" s="59" t="s">
        <v>83</v>
      </c>
      <c r="C68" s="60" t="s">
        <v>1626</v>
      </c>
      <c r="D68" s="61" t="s">
        <v>1692</v>
      </c>
      <c r="E68" s="63" t="s">
        <v>1819</v>
      </c>
      <c r="F68" s="62" t="str">
        <f ca="1">IFERROR(__xludf.DUMMYFUNCTION("GOOGLETRANSLATE(E846, ""ja"",""en"")"),"typical")</f>
        <v>typical</v>
      </c>
    </row>
    <row r="69" spans="1:6" ht="21">
      <c r="A69" s="84"/>
      <c r="B69" s="59" t="s">
        <v>83</v>
      </c>
      <c r="C69" s="65" t="s">
        <v>1626</v>
      </c>
      <c r="D69" s="61" t="s">
        <v>1693</v>
      </c>
      <c r="E69" s="61" t="s">
        <v>1820</v>
      </c>
      <c r="F69" s="62" t="s">
        <v>1219</v>
      </c>
    </row>
    <row r="70" spans="1:6" ht="21">
      <c r="A70" s="84"/>
      <c r="B70" s="59" t="s">
        <v>83</v>
      </c>
      <c r="C70" s="60" t="s">
        <v>1629</v>
      </c>
      <c r="D70" s="63" t="s">
        <v>1222</v>
      </c>
      <c r="E70" s="63" t="s">
        <v>1223</v>
      </c>
      <c r="F70" s="62" t="s">
        <v>1224</v>
      </c>
    </row>
    <row r="71" spans="1:6" ht="21">
      <c r="A71" s="84"/>
      <c r="B71" s="59" t="s">
        <v>83</v>
      </c>
      <c r="C71" s="65" t="s">
        <v>1629</v>
      </c>
      <c r="D71" s="63" t="s">
        <v>1225</v>
      </c>
      <c r="E71" s="63" t="s">
        <v>1226</v>
      </c>
      <c r="F71" s="62" t="s">
        <v>1227</v>
      </c>
    </row>
    <row r="72" spans="1:6" ht="21">
      <c r="A72" s="84"/>
      <c r="B72" s="59" t="s">
        <v>83</v>
      </c>
      <c r="C72" s="65" t="s">
        <v>1629</v>
      </c>
      <c r="D72" s="63" t="s">
        <v>1694</v>
      </c>
      <c r="E72" s="63" t="s">
        <v>3497</v>
      </c>
      <c r="F72" s="62" t="str">
        <f ca="1">IFERROR(__xludf.DUMMYFUNCTION("GOOGLETRANSLATE(E819, ""ja"",""en"")"),"bar")</f>
        <v>bar</v>
      </c>
    </row>
    <row r="73" spans="1:6" ht="21">
      <c r="A73" s="84"/>
      <c r="B73" s="59" t="s">
        <v>83</v>
      </c>
      <c r="C73" s="60" t="s">
        <v>1633</v>
      </c>
      <c r="D73" s="63" t="s">
        <v>1695</v>
      </c>
      <c r="E73" s="63" t="s">
        <v>1821</v>
      </c>
      <c r="F73" s="61" t="s">
        <v>1696</v>
      </c>
    </row>
    <row r="74" spans="1:6" ht="21">
      <c r="A74" s="84"/>
      <c r="B74" s="59" t="s">
        <v>83</v>
      </c>
      <c r="C74" s="60" t="s">
        <v>1633</v>
      </c>
      <c r="D74" s="61" t="s">
        <v>1697</v>
      </c>
      <c r="E74" s="63" t="s">
        <v>3498</v>
      </c>
      <c r="F74" s="62" t="s">
        <v>3656</v>
      </c>
    </row>
    <row r="75" spans="1:6" ht="21">
      <c r="A75" s="84"/>
      <c r="B75" s="59" t="s">
        <v>83</v>
      </c>
      <c r="C75" s="65" t="s">
        <v>1633</v>
      </c>
      <c r="D75" s="63" t="s">
        <v>1698</v>
      </c>
      <c r="E75" s="63" t="s">
        <v>1822</v>
      </c>
      <c r="F75" s="62" t="str">
        <f ca="1">IFERROR(__xludf.DUMMYFUNCTION("GOOGLETRANSLATE(E781, ""ja"",""en"")"),"Yakuza")</f>
        <v>Yakuza</v>
      </c>
    </row>
    <row r="76" spans="1:6" ht="21">
      <c r="A76" s="84"/>
      <c r="B76" s="59" t="s">
        <v>83</v>
      </c>
      <c r="C76" s="65" t="s">
        <v>1633</v>
      </c>
      <c r="D76" s="63" t="s">
        <v>1228</v>
      </c>
      <c r="E76" s="63" t="s">
        <v>1229</v>
      </c>
      <c r="F76" s="62" t="s">
        <v>1230</v>
      </c>
    </row>
    <row r="77" spans="1:6" ht="21">
      <c r="A77" s="84"/>
      <c r="B77" s="59" t="s">
        <v>83</v>
      </c>
      <c r="C77" s="60" t="s">
        <v>1638</v>
      </c>
      <c r="D77" s="63" t="s">
        <v>1699</v>
      </c>
      <c r="E77" s="63" t="s">
        <v>1823</v>
      </c>
      <c r="F77" s="62" t="s">
        <v>1231</v>
      </c>
    </row>
    <row r="78" spans="1:6" ht="21">
      <c r="A78" s="84"/>
      <c r="B78" s="59" t="s">
        <v>83</v>
      </c>
      <c r="C78" s="65" t="s">
        <v>1638</v>
      </c>
      <c r="D78" s="63" t="s">
        <v>862</v>
      </c>
      <c r="E78" s="63" t="s">
        <v>863</v>
      </c>
      <c r="F78" s="62" t="str">
        <f ca="1">IFERROR(__xludf.DUMMYFUNCTION("GOOGLETRANSLATE(E820, ""ja"",""en"")"),"to visit")</f>
        <v>to visit</v>
      </c>
    </row>
    <row r="79" spans="1:6" ht="21">
      <c r="A79" s="84"/>
      <c r="B79" s="59" t="s">
        <v>83</v>
      </c>
      <c r="C79" s="65" t="s">
        <v>1638</v>
      </c>
      <c r="D79" s="63" t="s">
        <v>1700</v>
      </c>
      <c r="E79" s="63" t="s">
        <v>1824</v>
      </c>
      <c r="F79" s="62" t="str">
        <f ca="1">IFERROR(__xludf.DUMMYFUNCTION("GOOGLETRANSLATE(E783, ""ja"",""en"")"),"to request")</f>
        <v>to request</v>
      </c>
    </row>
    <row r="80" spans="1:6" ht="21">
      <c r="A80" s="84"/>
      <c r="B80" s="59" t="s">
        <v>83</v>
      </c>
      <c r="C80" s="65" t="s">
        <v>1640</v>
      </c>
      <c r="D80" s="63" t="s">
        <v>1232</v>
      </c>
      <c r="E80" s="63" t="s">
        <v>1233</v>
      </c>
      <c r="F80" s="62" t="s">
        <v>1234</v>
      </c>
    </row>
    <row r="81" spans="1:6" ht="21">
      <c r="A81" s="84"/>
      <c r="B81" s="59" t="s">
        <v>83</v>
      </c>
      <c r="C81" s="65" t="s">
        <v>1640</v>
      </c>
      <c r="D81" s="61" t="s">
        <v>940</v>
      </c>
      <c r="E81" s="61" t="s">
        <v>941</v>
      </c>
      <c r="F81" s="62" t="s">
        <v>942</v>
      </c>
    </row>
    <row r="82" spans="1:6" ht="21">
      <c r="A82" s="84"/>
      <c r="B82" s="59" t="s">
        <v>83</v>
      </c>
      <c r="C82" s="65" t="s">
        <v>1642</v>
      </c>
      <c r="D82" s="63" t="s">
        <v>1701</v>
      </c>
      <c r="E82" s="63" t="s">
        <v>1825</v>
      </c>
      <c r="F82" s="62" t="s">
        <v>1235</v>
      </c>
    </row>
    <row r="83" spans="1:6" ht="21">
      <c r="A83" s="84"/>
      <c r="B83" s="59" t="s">
        <v>83</v>
      </c>
      <c r="C83" s="65" t="s">
        <v>1642</v>
      </c>
      <c r="D83" s="63" t="s">
        <v>1702</v>
      </c>
      <c r="E83" s="63" t="s">
        <v>3499</v>
      </c>
      <c r="F83" s="62" t="str">
        <f ca="1">IFERROR(__xludf.DUMMYFUNCTION("GOOGLETRANSLATE(E797, ""ja"",""en"")"),"episode")</f>
        <v>episode</v>
      </c>
    </row>
    <row r="84" spans="1:6" ht="21">
      <c r="A84" s="84"/>
      <c r="B84" s="59" t="s">
        <v>83</v>
      </c>
      <c r="C84" s="65" t="s">
        <v>1642</v>
      </c>
      <c r="D84" s="63" t="s">
        <v>1703</v>
      </c>
      <c r="E84" s="63" t="s">
        <v>1826</v>
      </c>
      <c r="F84" s="62" t="str">
        <f ca="1">IFERROR(__xludf.DUMMYFUNCTION("GOOGLETRANSLATE(E854, ""ja"",""en"")"),"place")</f>
        <v>place</v>
      </c>
    </row>
    <row r="85" spans="1:6" ht="21">
      <c r="A85" s="84"/>
      <c r="B85" s="59" t="s">
        <v>83</v>
      </c>
      <c r="C85" s="65" t="s">
        <v>1642</v>
      </c>
      <c r="D85" s="63" t="s">
        <v>1198</v>
      </c>
      <c r="E85" s="63" t="s">
        <v>1199</v>
      </c>
      <c r="F85" s="62" t="s">
        <v>1204</v>
      </c>
    </row>
    <row r="86" spans="1:6" ht="21">
      <c r="A86" s="84"/>
      <c r="B86" s="59" t="s">
        <v>83</v>
      </c>
      <c r="C86" s="65" t="s">
        <v>1645</v>
      </c>
      <c r="D86" s="63" t="s">
        <v>1704</v>
      </c>
      <c r="E86" s="63" t="s">
        <v>1827</v>
      </c>
      <c r="F86" s="62" t="str">
        <f ca="1">IFERROR(__xludf.DUMMYFUNCTION("GOOGLETRANSLATE(E786, ""ja"",""en"")"),"warmth")</f>
        <v>warmth</v>
      </c>
    </row>
    <row r="87" spans="1:6" ht="21">
      <c r="A87" s="84"/>
      <c r="B87" s="59" t="s">
        <v>83</v>
      </c>
      <c r="C87" s="65" t="s">
        <v>1645</v>
      </c>
      <c r="D87" s="63" t="s">
        <v>1236</v>
      </c>
      <c r="E87" s="63" t="s">
        <v>1237</v>
      </c>
      <c r="F87" s="62" t="str">
        <f ca="1">IFERROR(__xludf.DUMMYFUNCTION("GOOGLETRANSLATE(E855, ""ja"",""en"")"),"to give")</f>
        <v>to give</v>
      </c>
    </row>
    <row r="88" spans="1:6" ht="21">
      <c r="A88" s="84"/>
      <c r="B88" s="59" t="s">
        <v>83</v>
      </c>
      <c r="C88" s="65" t="s">
        <v>1645</v>
      </c>
      <c r="D88" s="63" t="s">
        <v>1705</v>
      </c>
      <c r="E88" s="63" t="s">
        <v>1828</v>
      </c>
      <c r="F88" s="62" t="str">
        <f ca="1">IFERROR(__xludf.DUMMYFUNCTION("GOOGLETRANSLATE(E856, ""ja"",""en"")"),"race")</f>
        <v>race</v>
      </c>
    </row>
    <row r="89" spans="1:6" ht="21">
      <c r="A89" s="84"/>
      <c r="B89" s="59" t="s">
        <v>83</v>
      </c>
      <c r="C89" s="65" t="s">
        <v>1645</v>
      </c>
      <c r="D89" s="63" t="s">
        <v>1706</v>
      </c>
      <c r="E89" s="63" t="s">
        <v>1829</v>
      </c>
      <c r="F89" s="62" t="s">
        <v>3657</v>
      </c>
    </row>
    <row r="90" spans="1:6" ht="21">
      <c r="A90" s="84"/>
      <c r="B90" s="59" t="s">
        <v>83</v>
      </c>
      <c r="C90" s="65" t="s">
        <v>1645</v>
      </c>
      <c r="D90" s="63" t="s">
        <v>1707</v>
      </c>
      <c r="E90" s="63" t="s">
        <v>1830</v>
      </c>
      <c r="F90" s="62" t="str">
        <f ca="1">IFERROR(__xludf.DUMMYFUNCTION("GOOGLETRANSLATE(E858, ""ja"",""en"")"),"age")</f>
        <v>age</v>
      </c>
    </row>
    <row r="91" spans="1:6" ht="21">
      <c r="A91" s="84"/>
      <c r="B91" s="59" t="s">
        <v>83</v>
      </c>
      <c r="C91" s="65" t="s">
        <v>1645</v>
      </c>
      <c r="D91" s="63" t="s">
        <v>1708</v>
      </c>
      <c r="E91" s="63" t="s">
        <v>1831</v>
      </c>
      <c r="F91" s="62" t="s">
        <v>675</v>
      </c>
    </row>
    <row r="92" spans="1:6" ht="21">
      <c r="A92" s="84"/>
      <c r="B92" s="59" t="s">
        <v>83</v>
      </c>
      <c r="C92" s="65" t="s">
        <v>1645</v>
      </c>
      <c r="D92" s="63" t="s">
        <v>1240</v>
      </c>
      <c r="E92" s="63" t="s">
        <v>1241</v>
      </c>
      <c r="F92" s="62" t="s">
        <v>1242</v>
      </c>
    </row>
    <row r="93" spans="1:6" ht="21">
      <c r="A93" s="84"/>
      <c r="B93" s="59" t="s">
        <v>83</v>
      </c>
      <c r="C93" s="60" t="s">
        <v>1648</v>
      </c>
      <c r="D93" s="63" t="s">
        <v>1709</v>
      </c>
      <c r="E93" s="63" t="s">
        <v>1832</v>
      </c>
      <c r="F93" s="62" t="str">
        <f ca="1">IFERROR(__xludf.DUMMYFUNCTION("GOOGLETRANSLATE(E860, ""ja"",""en"")"),"workplace")</f>
        <v>workplace</v>
      </c>
    </row>
    <row r="94" spans="1:6" ht="21">
      <c r="A94" s="84"/>
      <c r="B94" s="59" t="s">
        <v>83</v>
      </c>
      <c r="C94" s="65" t="s">
        <v>1648</v>
      </c>
      <c r="D94" s="63" t="s">
        <v>1710</v>
      </c>
      <c r="E94" s="63" t="s">
        <v>1833</v>
      </c>
      <c r="F94" s="62" t="s">
        <v>3658</v>
      </c>
    </row>
    <row r="95" spans="1:6" ht="21">
      <c r="A95" s="84"/>
      <c r="B95" s="59" t="s">
        <v>83</v>
      </c>
      <c r="C95" s="65" t="s">
        <v>1648</v>
      </c>
      <c r="D95" s="63" t="s">
        <v>1711</v>
      </c>
      <c r="E95" s="63" t="s">
        <v>1834</v>
      </c>
      <c r="F95" s="62" t="s">
        <v>3659</v>
      </c>
    </row>
    <row r="96" spans="1:6" ht="21">
      <c r="A96" s="84"/>
      <c r="B96" s="59" t="s">
        <v>83</v>
      </c>
      <c r="C96" s="65" t="s">
        <v>1648</v>
      </c>
      <c r="D96" s="63" t="s">
        <v>965</v>
      </c>
      <c r="E96" s="63" t="s">
        <v>966</v>
      </c>
      <c r="F96" s="62" t="str">
        <f ca="1">IFERROR(__xludf.DUMMYFUNCTION("GOOGLETRANSLATE(E401, ""ja"",""en"")"),"to provide")</f>
        <v>to provide</v>
      </c>
    </row>
    <row r="97" spans="1:6" ht="21">
      <c r="A97" s="84"/>
      <c r="B97" s="59" t="s">
        <v>83</v>
      </c>
      <c r="C97" s="65" t="s">
        <v>1657</v>
      </c>
      <c r="D97" s="61" t="s">
        <v>1712</v>
      </c>
      <c r="E97" s="63" t="s">
        <v>1835</v>
      </c>
      <c r="F97" s="62" t="str">
        <f ca="1">IFERROR(__xludf.DUMMYFUNCTION("GOOGLETRANSLATE(E778, ""ja"",""en"")"),"gay")</f>
        <v>gay</v>
      </c>
    </row>
    <row r="98" spans="1:6" ht="21">
      <c r="A98" s="84"/>
      <c r="B98" s="59" t="s">
        <v>83</v>
      </c>
      <c r="C98" s="60" t="s">
        <v>1657</v>
      </c>
      <c r="D98" s="63" t="s">
        <v>676</v>
      </c>
      <c r="E98" s="61" t="s">
        <v>1836</v>
      </c>
      <c r="F98" s="62" t="str">
        <f ca="1">IFERROR(__xludf.DUMMYFUNCTION("GOOGLETRANSLATE(E790, ""ja"",""en"")"),"couple")</f>
        <v>couple</v>
      </c>
    </row>
    <row r="99" spans="1:6" ht="21">
      <c r="A99" s="84"/>
      <c r="B99" s="59" t="s">
        <v>83</v>
      </c>
      <c r="C99" s="65" t="s">
        <v>49</v>
      </c>
      <c r="D99" s="61" t="s">
        <v>1713</v>
      </c>
      <c r="E99" s="61" t="s">
        <v>1800</v>
      </c>
      <c r="F99" s="62" t="s">
        <v>1243</v>
      </c>
    </row>
    <row r="100" spans="1:6" ht="21">
      <c r="A100" s="84"/>
      <c r="B100" s="59" t="s">
        <v>83</v>
      </c>
      <c r="C100" s="60" t="s">
        <v>1657</v>
      </c>
      <c r="D100" s="63" t="s">
        <v>1714</v>
      </c>
      <c r="E100" s="63" t="s">
        <v>1837</v>
      </c>
      <c r="F100" s="62" t="str">
        <f ca="1">IFERROR(__xludf.DUMMYFUNCTION("GOOGLETRANSLATE(E863, ""ja"",""en"")"),"everyday")</f>
        <v>everyday</v>
      </c>
    </row>
    <row r="101" spans="1:6" ht="21">
      <c r="A101" s="84"/>
      <c r="B101" s="59" t="s">
        <v>83</v>
      </c>
      <c r="C101" s="60" t="s">
        <v>1657</v>
      </c>
      <c r="D101" s="61" t="s">
        <v>1715</v>
      </c>
      <c r="E101" s="63" t="s">
        <v>1838</v>
      </c>
      <c r="F101" s="61" t="s">
        <v>3660</v>
      </c>
    </row>
    <row r="102" spans="1:6" ht="21">
      <c r="A102" s="84"/>
      <c r="B102" s="59" t="s">
        <v>83</v>
      </c>
      <c r="C102" s="60" t="s">
        <v>1658</v>
      </c>
      <c r="D102" s="63" t="s">
        <v>1238</v>
      </c>
      <c r="E102" s="63" t="s">
        <v>1239</v>
      </c>
      <c r="F102" s="62" t="s">
        <v>1716</v>
      </c>
    </row>
    <row r="103" spans="1:6" ht="21">
      <c r="A103" s="84"/>
      <c r="B103" s="59" t="s">
        <v>83</v>
      </c>
      <c r="C103" s="60" t="s">
        <v>1717</v>
      </c>
      <c r="D103" s="63" t="s">
        <v>852</v>
      </c>
      <c r="E103" s="63" t="s">
        <v>853</v>
      </c>
      <c r="F103" s="62" t="s">
        <v>1248</v>
      </c>
    </row>
    <row r="104" spans="1:6" ht="21">
      <c r="A104" s="84"/>
      <c r="B104" s="59" t="s">
        <v>83</v>
      </c>
      <c r="C104" s="60" t="s">
        <v>1717</v>
      </c>
      <c r="D104" s="63" t="s">
        <v>1718</v>
      </c>
      <c r="E104" s="63" t="s">
        <v>1839</v>
      </c>
      <c r="F104" s="62" t="str">
        <f ca="1">IFERROR(__xludf.DUMMYFUNCTION("GOOGLETRANSLATE(E791, ""ja"",""en"")"),"every time")</f>
        <v>every time</v>
      </c>
    </row>
    <row r="105" spans="1:6" ht="21">
      <c r="A105" s="84"/>
      <c r="B105" s="59" t="s">
        <v>83</v>
      </c>
      <c r="C105" s="65" t="s">
        <v>1717</v>
      </c>
      <c r="D105" s="61" t="s">
        <v>1719</v>
      </c>
      <c r="E105" s="61" t="s">
        <v>1840</v>
      </c>
      <c r="F105" s="62" t="s">
        <v>1249</v>
      </c>
    </row>
    <row r="106" spans="1:6" ht="21">
      <c r="A106" s="84"/>
      <c r="B106" s="59" t="s">
        <v>83</v>
      </c>
      <c r="C106" s="60" t="s">
        <v>1717</v>
      </c>
      <c r="D106" s="63" t="s">
        <v>1244</v>
      </c>
      <c r="E106" s="63" t="s">
        <v>1245</v>
      </c>
      <c r="F106" s="61" t="s">
        <v>1250</v>
      </c>
    </row>
    <row r="107" spans="1:6" ht="21">
      <c r="A107" s="84"/>
      <c r="B107" s="59" t="s">
        <v>83</v>
      </c>
      <c r="C107" s="60" t="s">
        <v>1661</v>
      </c>
      <c r="D107" s="61" t="s">
        <v>1246</v>
      </c>
      <c r="E107" s="61" t="s">
        <v>1247</v>
      </c>
      <c r="F107" s="61" t="s">
        <v>3661</v>
      </c>
    </row>
    <row r="108" spans="1:6" ht="21">
      <c r="A108" s="84"/>
      <c r="B108" s="59" t="s">
        <v>83</v>
      </c>
      <c r="C108" s="65" t="s">
        <v>1661</v>
      </c>
      <c r="D108" s="61" t="s">
        <v>1720</v>
      </c>
      <c r="E108" s="61" t="s">
        <v>1786</v>
      </c>
      <c r="F108" s="61" t="s">
        <v>1721</v>
      </c>
    </row>
    <row r="109" spans="1:6" ht="21">
      <c r="A109" s="84"/>
      <c r="B109" s="59" t="s">
        <v>83</v>
      </c>
      <c r="C109" s="60" t="s">
        <v>1661</v>
      </c>
      <c r="D109" s="63" t="s">
        <v>1722</v>
      </c>
      <c r="E109" s="63" t="s">
        <v>1723</v>
      </c>
      <c r="F109" s="61" t="s">
        <v>1724</v>
      </c>
    </row>
    <row r="110" spans="1:6" ht="21">
      <c r="A110" s="84"/>
      <c r="B110" s="59" t="s">
        <v>83</v>
      </c>
      <c r="C110" s="60" t="s">
        <v>1661</v>
      </c>
      <c r="D110" s="63" t="s">
        <v>1725</v>
      </c>
      <c r="E110" s="63" t="s">
        <v>1841</v>
      </c>
      <c r="F110" s="62" t="s">
        <v>1251</v>
      </c>
    </row>
    <row r="111" spans="1:6" ht="21">
      <c r="A111" s="84"/>
      <c r="B111" s="59" t="s">
        <v>83</v>
      </c>
      <c r="C111" s="60" t="s">
        <v>1661</v>
      </c>
      <c r="D111" s="63" t="s">
        <v>1726</v>
      </c>
      <c r="E111" s="63" t="s">
        <v>1842</v>
      </c>
      <c r="F111" s="62" t="str">
        <f ca="1">IFERROR(__xludf.DUMMYFUNCTION("GOOGLETRANSLATE(E870, ""ja"",""en"")"),"tears")</f>
        <v>tears</v>
      </c>
    </row>
    <row r="112" spans="1:6" ht="21">
      <c r="A112" s="84"/>
      <c r="B112" s="59" t="s">
        <v>83</v>
      </c>
      <c r="C112" s="65" t="s">
        <v>1661</v>
      </c>
      <c r="D112" s="61" t="s">
        <v>1727</v>
      </c>
      <c r="E112" s="61" t="s">
        <v>1499</v>
      </c>
      <c r="F112" s="62" t="s">
        <v>1061</v>
      </c>
    </row>
    <row r="113" spans="1:6" ht="21">
      <c r="A113" s="84"/>
      <c r="B113" s="59" t="s">
        <v>83</v>
      </c>
      <c r="C113" s="65" t="s">
        <v>1661</v>
      </c>
      <c r="D113" s="61" t="s">
        <v>1728</v>
      </c>
      <c r="E113" s="61" t="s">
        <v>1795</v>
      </c>
      <c r="F113" s="62" t="s">
        <v>1252</v>
      </c>
    </row>
    <row r="114" spans="1:6" ht="21">
      <c r="A114" s="84"/>
      <c r="B114" s="59" t="s">
        <v>83</v>
      </c>
      <c r="C114" s="60" t="s">
        <v>1663</v>
      </c>
      <c r="D114" s="61" t="s">
        <v>1253</v>
      </c>
      <c r="E114" s="61" t="s">
        <v>1254</v>
      </c>
      <c r="F114" s="62" t="str">
        <f ca="1">IFERROR(__xludf.DUMMYFUNCTION("GOOGLETRANSLATE(E794, ""ja"",""en"")"),"through")</f>
        <v>through</v>
      </c>
    </row>
    <row r="115" spans="1:6" ht="21">
      <c r="A115" s="84"/>
      <c r="B115" s="59" t="s">
        <v>83</v>
      </c>
      <c r="C115" s="60" t="s">
        <v>1663</v>
      </c>
      <c r="D115" s="63" t="s">
        <v>1729</v>
      </c>
      <c r="E115" s="63" t="s">
        <v>1843</v>
      </c>
      <c r="F115" s="62" t="str">
        <f ca="1">IFERROR(__xludf.DUMMYFUNCTION("GOOGLETRANSLATE(E871, ""ja"",""en"")"),"surroundings")</f>
        <v>surroundings</v>
      </c>
    </row>
    <row r="116" spans="1:6" ht="21">
      <c r="A116" s="84"/>
      <c r="B116" s="59" t="s">
        <v>83</v>
      </c>
      <c r="C116" s="65" t="s">
        <v>1663</v>
      </c>
      <c r="D116" s="61" t="s">
        <v>1730</v>
      </c>
      <c r="E116" s="61" t="s">
        <v>1844</v>
      </c>
      <c r="F116" s="62" t="s">
        <v>3662</v>
      </c>
    </row>
    <row r="117" spans="1:6" ht="21">
      <c r="A117" s="84"/>
      <c r="B117" s="59" t="s">
        <v>83</v>
      </c>
      <c r="C117" s="60" t="s">
        <v>1663</v>
      </c>
      <c r="D117" s="63" t="s">
        <v>1255</v>
      </c>
      <c r="E117" s="63" t="s">
        <v>1256</v>
      </c>
      <c r="F117" s="62" t="s">
        <v>1731</v>
      </c>
    </row>
    <row r="118" spans="1:6" ht="21">
      <c r="A118" s="84"/>
      <c r="B118" s="59" t="s">
        <v>83</v>
      </c>
      <c r="C118" s="65" t="s">
        <v>1663</v>
      </c>
      <c r="D118" s="63" t="s">
        <v>1732</v>
      </c>
      <c r="E118" s="63" t="s">
        <v>3500</v>
      </c>
      <c r="F118" s="62" t="str">
        <f ca="1">IFERROR(__xludf.DUMMYFUNCTION("GOOGLETRANSLATE(E799, ""ja"",""en"")"),"partner")</f>
        <v>partner</v>
      </c>
    </row>
    <row r="119" spans="1:6" ht="21">
      <c r="A119" s="84"/>
      <c r="B119" s="59" t="s">
        <v>83</v>
      </c>
      <c r="C119" s="60" t="s">
        <v>1666</v>
      </c>
      <c r="D119" s="63" t="s">
        <v>1733</v>
      </c>
      <c r="E119" s="63" t="s">
        <v>1845</v>
      </c>
      <c r="F119" s="62" t="str">
        <f ca="1">IFERROR(__xludf.DUMMYFUNCTION("GOOGLETRANSLATE(E825, ""ja"",""en"")"),"parents' home")</f>
        <v>parents' home</v>
      </c>
    </row>
    <row r="120" spans="1:6" ht="21">
      <c r="A120" s="84"/>
      <c r="B120" s="59" t="s">
        <v>83</v>
      </c>
      <c r="C120" s="60" t="s">
        <v>1666</v>
      </c>
      <c r="D120" s="63" t="s">
        <v>1734</v>
      </c>
      <c r="E120" s="63" t="s">
        <v>1846</v>
      </c>
      <c r="F120" s="62" t="s">
        <v>1735</v>
      </c>
    </row>
    <row r="121" spans="1:6" ht="21">
      <c r="A121" s="84"/>
      <c r="B121" s="59" t="s">
        <v>83</v>
      </c>
      <c r="C121" s="60" t="s">
        <v>1666</v>
      </c>
      <c r="D121" s="63" t="s">
        <v>1702</v>
      </c>
      <c r="E121" s="63" t="s">
        <v>3499</v>
      </c>
      <c r="F121" s="62" t="str">
        <f ca="1">IFERROR(__xludf.DUMMYFUNCTION("GOOGLETRANSLATE(E797, ""ja"",""en"")"),"episode")</f>
        <v>episode</v>
      </c>
    </row>
    <row r="122" spans="1:6" ht="21">
      <c r="A122" s="84"/>
      <c r="B122" s="59" t="s">
        <v>83</v>
      </c>
      <c r="C122" s="65" t="s">
        <v>1671</v>
      </c>
      <c r="D122" s="61" t="s">
        <v>1736</v>
      </c>
      <c r="E122" s="61" t="s">
        <v>1543</v>
      </c>
      <c r="F122" s="62" t="s">
        <v>927</v>
      </c>
    </row>
    <row r="123" spans="1:6" ht="21">
      <c r="A123" s="84"/>
      <c r="B123" s="59" t="s">
        <v>83</v>
      </c>
      <c r="C123" s="60" t="s">
        <v>1671</v>
      </c>
      <c r="D123" s="61" t="s">
        <v>1737</v>
      </c>
      <c r="E123" s="61" t="s">
        <v>1847</v>
      </c>
      <c r="F123" s="62" t="str">
        <f ca="1">IFERROR(__xludf.DUMMYFUNCTION("GOOGLETRANSLATE(E875, ""ja"",""en"")"),"gradually")</f>
        <v>gradually</v>
      </c>
    </row>
    <row r="124" spans="1:6" ht="21">
      <c r="A124" s="84"/>
      <c r="B124" s="59" t="s">
        <v>83</v>
      </c>
      <c r="C124" s="60" t="s">
        <v>1671</v>
      </c>
      <c r="D124" s="61" t="s">
        <v>1738</v>
      </c>
      <c r="E124" s="63" t="s">
        <v>1848</v>
      </c>
      <c r="F124" s="62" t="s">
        <v>1257</v>
      </c>
    </row>
    <row r="125" spans="1:6" ht="21">
      <c r="A125" s="84"/>
      <c r="B125" s="59" t="s">
        <v>83</v>
      </c>
      <c r="C125" s="60" t="s">
        <v>1671</v>
      </c>
      <c r="D125" s="63" t="s">
        <v>1739</v>
      </c>
      <c r="E125" s="63" t="s">
        <v>1849</v>
      </c>
      <c r="F125" s="62" t="str">
        <f ca="1">IFERROR(__xludf.DUMMYFUNCTION("GOOGLETRANSLATE(E876, ""ja"",""en"")"),"state")</f>
        <v>state</v>
      </c>
    </row>
    <row r="126" spans="1:6" ht="21">
      <c r="A126" s="84"/>
      <c r="B126" s="59" t="s">
        <v>83</v>
      </c>
      <c r="C126" s="65" t="s">
        <v>1671</v>
      </c>
      <c r="D126" s="61" t="s">
        <v>744</v>
      </c>
      <c r="E126" s="61" t="s">
        <v>816</v>
      </c>
      <c r="F126" s="62" t="s">
        <v>1011</v>
      </c>
    </row>
    <row r="127" spans="1:6" ht="21">
      <c r="A127" s="84"/>
      <c r="B127" s="59" t="s">
        <v>83</v>
      </c>
      <c r="C127" s="65" t="s">
        <v>1740</v>
      </c>
      <c r="D127" s="63" t="s">
        <v>1741</v>
      </c>
      <c r="E127" s="63" t="s">
        <v>3501</v>
      </c>
      <c r="F127" s="62" t="str">
        <f ca="1">IFERROR(__xludf.DUMMYFUNCTION("GOOGLETRANSLATE(E803, ""ja"",""en"")"),"documentary")</f>
        <v>documentary</v>
      </c>
    </row>
    <row r="128" spans="1:6" ht="21">
      <c r="A128" s="84"/>
      <c r="B128" s="59" t="s">
        <v>83</v>
      </c>
      <c r="C128" s="89" t="s">
        <v>1740</v>
      </c>
      <c r="D128" s="90" t="s">
        <v>1742</v>
      </c>
      <c r="E128" s="61" t="s">
        <v>1850</v>
      </c>
      <c r="F128" s="88" t="s">
        <v>3766</v>
      </c>
    </row>
    <row r="129" spans="1:6" ht="21">
      <c r="A129" s="84"/>
      <c r="B129" s="59" t="s">
        <v>83</v>
      </c>
      <c r="C129" s="65" t="s">
        <v>1740</v>
      </c>
      <c r="D129" s="61" t="s">
        <v>1743</v>
      </c>
      <c r="E129" s="61" t="s">
        <v>1851</v>
      </c>
      <c r="F129" s="62" t="s">
        <v>1258</v>
      </c>
    </row>
    <row r="130" spans="1:6" ht="21">
      <c r="A130" s="84"/>
      <c r="B130" s="59" t="s">
        <v>83</v>
      </c>
      <c r="C130" s="65" t="s">
        <v>1673</v>
      </c>
      <c r="D130" s="63" t="s">
        <v>1686</v>
      </c>
      <c r="E130" s="63" t="s">
        <v>1816</v>
      </c>
      <c r="F130" s="62" t="str">
        <f ca="1">IFERROR(__xludf.DUMMYFUNCTION("GOOGLETRANSLATE(E880, ""ja"",""en"")"),"life")</f>
        <v>life</v>
      </c>
    </row>
    <row r="131" spans="1:6" ht="21">
      <c r="A131" s="84"/>
      <c r="B131" s="59" t="s">
        <v>83</v>
      </c>
      <c r="C131" s="65" t="s">
        <v>1673</v>
      </c>
      <c r="D131" s="63" t="s">
        <v>1744</v>
      </c>
      <c r="E131" s="63" t="s">
        <v>1852</v>
      </c>
      <c r="F131" s="62" t="str">
        <f ca="1">IFERROR(__xludf.DUMMYFUNCTION("GOOGLETRANSLATE(E807, ""ja"",""en"")"),"Michelin")</f>
        <v>Michelin</v>
      </c>
    </row>
    <row r="132" spans="1:6" ht="21">
      <c r="A132" s="84"/>
      <c r="B132" s="59" t="s">
        <v>83</v>
      </c>
      <c r="C132" s="65" t="s">
        <v>1673</v>
      </c>
      <c r="D132" s="63" t="s">
        <v>1260</v>
      </c>
      <c r="E132" s="63" t="s">
        <v>1261</v>
      </c>
      <c r="F132" s="62" t="s">
        <v>1259</v>
      </c>
    </row>
    <row r="133" spans="1:6" ht="21">
      <c r="A133" s="84"/>
      <c r="B133" s="59" t="s">
        <v>83</v>
      </c>
      <c r="C133" s="65" t="s">
        <v>1673</v>
      </c>
      <c r="D133" s="63" t="s">
        <v>1745</v>
      </c>
      <c r="E133" s="63" t="s">
        <v>1853</v>
      </c>
      <c r="F133" s="62" t="str">
        <f ca="1">IFERROR(__xludf.DUMMYFUNCTION("GOOGLETRANSLATE(E828, ""ja"",""en"")"),"legend")</f>
        <v>legend</v>
      </c>
    </row>
    <row r="134" spans="1:6" ht="21">
      <c r="A134" s="84"/>
      <c r="B134" s="59" t="s">
        <v>83</v>
      </c>
      <c r="C134" s="65" t="s">
        <v>1673</v>
      </c>
      <c r="D134" s="63" t="s">
        <v>1746</v>
      </c>
      <c r="E134" s="63" t="s">
        <v>1565</v>
      </c>
      <c r="F134" s="62" t="str">
        <f ca="1">IFERROR(__xludf.DUMMYFUNCTION("GOOGLETRANSLATE(E693, ""ja"",""en"")"),"craftsman")</f>
        <v>craftsman</v>
      </c>
    </row>
    <row r="135" spans="1:6" ht="21">
      <c r="A135" s="84"/>
      <c r="B135" s="59" t="s">
        <v>83</v>
      </c>
      <c r="C135" s="65" t="s">
        <v>1675</v>
      </c>
      <c r="D135" s="63" t="s">
        <v>1747</v>
      </c>
      <c r="E135" s="63" t="s">
        <v>1854</v>
      </c>
      <c r="F135" s="62" t="str">
        <f ca="1">IFERROR(__xludf.DUMMYFUNCTION("GOOGLETRANSLATE(E829, ""ja"",""en"")"),"temperament")</f>
        <v>temperament</v>
      </c>
    </row>
    <row r="136" spans="1:6" ht="21">
      <c r="A136" s="84"/>
      <c r="B136" s="59" t="s">
        <v>83</v>
      </c>
      <c r="C136" s="65" t="s">
        <v>1675</v>
      </c>
      <c r="D136" s="61" t="s">
        <v>1748</v>
      </c>
      <c r="E136" s="63" t="s">
        <v>1855</v>
      </c>
      <c r="F136" s="62" t="s">
        <v>3663</v>
      </c>
    </row>
    <row r="137" spans="1:6" ht="21">
      <c r="A137" s="84"/>
      <c r="B137" s="59" t="s">
        <v>83</v>
      </c>
      <c r="C137" s="65" t="s">
        <v>1675</v>
      </c>
      <c r="D137" s="61" t="s">
        <v>1749</v>
      </c>
      <c r="E137" s="61" t="s">
        <v>1856</v>
      </c>
      <c r="F137" s="62" t="s">
        <v>3664</v>
      </c>
    </row>
    <row r="138" spans="1:6" ht="21">
      <c r="A138" s="84"/>
      <c r="B138" s="59" t="s">
        <v>83</v>
      </c>
      <c r="C138" s="65" t="s">
        <v>1675</v>
      </c>
      <c r="D138" s="63" t="s">
        <v>1262</v>
      </c>
      <c r="E138" s="63" t="s">
        <v>1263</v>
      </c>
      <c r="F138" s="62" t="s">
        <v>1264</v>
      </c>
    </row>
    <row r="139" spans="1:6" ht="21">
      <c r="A139" s="84"/>
      <c r="B139" s="59" t="s">
        <v>83</v>
      </c>
      <c r="C139" s="65" t="s">
        <v>1675</v>
      </c>
      <c r="D139" s="61" t="s">
        <v>1750</v>
      </c>
      <c r="E139" s="63" t="s">
        <v>3502</v>
      </c>
      <c r="F139" s="62" t="str">
        <f ca="1">IFERROR(__xludf.DUMMYFUNCTION("GOOGLETRANSLATE(E810, ""ja"",""en"")"),"counter")</f>
        <v>counter</v>
      </c>
    </row>
    <row r="140" spans="1:6" ht="21">
      <c r="A140" s="84"/>
      <c r="B140" s="59" t="s">
        <v>83</v>
      </c>
      <c r="C140" s="65" t="s">
        <v>1675</v>
      </c>
      <c r="D140" s="63" t="s">
        <v>1751</v>
      </c>
      <c r="E140" s="63" t="s">
        <v>1857</v>
      </c>
      <c r="F140" s="61" t="s">
        <v>1267</v>
      </c>
    </row>
    <row r="141" spans="1:6" ht="21">
      <c r="A141" s="84"/>
      <c r="B141" s="59" t="s">
        <v>83</v>
      </c>
      <c r="C141" s="65" t="s">
        <v>1675</v>
      </c>
      <c r="D141" s="63" t="s">
        <v>1265</v>
      </c>
      <c r="E141" s="63" t="s">
        <v>1266</v>
      </c>
      <c r="F141" s="62" t="s">
        <v>1752</v>
      </c>
    </row>
    <row r="142" spans="1:6" ht="21">
      <c r="A142" s="84"/>
      <c r="B142" s="59" t="s">
        <v>83</v>
      </c>
      <c r="C142" s="65" t="s">
        <v>1675</v>
      </c>
      <c r="D142" s="61" t="s">
        <v>1753</v>
      </c>
      <c r="E142" s="63" t="s">
        <v>1858</v>
      </c>
      <c r="F142" s="63" t="s">
        <v>698</v>
      </c>
    </row>
    <row r="143" spans="1:6" ht="21">
      <c r="A143" s="84"/>
      <c r="B143" s="59" t="s">
        <v>83</v>
      </c>
      <c r="C143" s="65" t="s">
        <v>1754</v>
      </c>
      <c r="D143" s="63" t="s">
        <v>965</v>
      </c>
      <c r="E143" s="63" t="s">
        <v>966</v>
      </c>
      <c r="F143" s="62" t="str">
        <f ca="1">IFERROR(__xludf.DUMMYFUNCTION("GOOGLETRANSLATE(E823, ""ja"",""en"")"),"to provide")</f>
        <v>to provide</v>
      </c>
    </row>
    <row r="144" spans="1:6" ht="21">
      <c r="A144" s="84"/>
      <c r="B144" s="59" t="s">
        <v>83</v>
      </c>
      <c r="C144" s="65" t="s">
        <v>1754</v>
      </c>
      <c r="D144" s="61" t="s">
        <v>1755</v>
      </c>
      <c r="E144" s="61" t="s">
        <v>1859</v>
      </c>
      <c r="F144" s="62" t="s">
        <v>1268</v>
      </c>
    </row>
    <row r="145" spans="1:6" ht="21">
      <c r="A145" s="84"/>
      <c r="B145" s="59" t="s">
        <v>83</v>
      </c>
      <c r="C145" s="65" t="s">
        <v>1754</v>
      </c>
      <c r="D145" s="63" t="s">
        <v>1756</v>
      </c>
      <c r="E145" s="63" t="s">
        <v>1757</v>
      </c>
      <c r="F145" s="62" t="s">
        <v>1758</v>
      </c>
    </row>
    <row r="146" spans="1:6" ht="21">
      <c r="A146" s="84"/>
      <c r="B146" s="59" t="s">
        <v>83</v>
      </c>
      <c r="C146" s="65" t="s">
        <v>1754</v>
      </c>
      <c r="D146" s="63" t="s">
        <v>1759</v>
      </c>
      <c r="E146" s="63" t="s">
        <v>1860</v>
      </c>
      <c r="F146" s="74" t="s">
        <v>1760</v>
      </c>
    </row>
    <row r="147" spans="1:6" ht="21">
      <c r="A147" s="84"/>
      <c r="B147" s="59" t="s">
        <v>83</v>
      </c>
      <c r="C147" s="65" t="s">
        <v>1761</v>
      </c>
      <c r="D147" s="63" t="s">
        <v>1762</v>
      </c>
      <c r="E147" s="63" t="s">
        <v>947</v>
      </c>
      <c r="F147" s="62" t="str">
        <f ca="1">IFERROR(__xludf.DUMMYFUNCTION("GOOGLETRANSLATE(E366, ""ja"",""en"")"),"many")</f>
        <v>many</v>
      </c>
    </row>
    <row r="148" spans="1:6" ht="21">
      <c r="A148" s="84"/>
      <c r="B148" s="59" t="s">
        <v>83</v>
      </c>
      <c r="C148" s="65" t="s">
        <v>1761</v>
      </c>
      <c r="D148" s="63" t="s">
        <v>1764</v>
      </c>
      <c r="E148" s="63" t="s">
        <v>1861</v>
      </c>
      <c r="F148" s="62" t="s">
        <v>1270</v>
      </c>
    </row>
    <row r="149" spans="1:6" ht="21">
      <c r="A149" s="84"/>
      <c r="B149" s="59" t="s">
        <v>83</v>
      </c>
      <c r="C149" s="65" t="s">
        <v>1761</v>
      </c>
      <c r="D149" s="61" t="s">
        <v>1236</v>
      </c>
      <c r="E149" s="61" t="s">
        <v>1237</v>
      </c>
      <c r="F149" s="62" t="s">
        <v>1269</v>
      </c>
    </row>
    <row r="150" spans="1:6" ht="21">
      <c r="A150" s="84"/>
      <c r="B150" s="59" t="s">
        <v>83</v>
      </c>
      <c r="C150" s="65" t="s">
        <v>1761</v>
      </c>
      <c r="D150" s="63" t="s">
        <v>1765</v>
      </c>
      <c r="E150" s="63" t="s">
        <v>1580</v>
      </c>
      <c r="F150" s="62" t="s">
        <v>962</v>
      </c>
    </row>
    <row r="151" spans="1:6" ht="21">
      <c r="A151" s="84"/>
      <c r="B151" s="59" t="s">
        <v>83</v>
      </c>
      <c r="C151" s="65" t="s">
        <v>1761</v>
      </c>
      <c r="D151" s="63" t="s">
        <v>1766</v>
      </c>
      <c r="E151" s="63" t="s">
        <v>1862</v>
      </c>
      <c r="F151" s="62" t="str">
        <f ca="1">IFERROR(__xludf.DUMMYFUNCTION("GOOGLETRANSLATE(E814, ""ja"",""en"")"),"way of life")</f>
        <v>way of life</v>
      </c>
    </row>
    <row r="152" spans="1:6" ht="21">
      <c r="A152" s="84"/>
      <c r="B152" s="59" t="s">
        <v>83</v>
      </c>
      <c r="C152" s="65" t="s">
        <v>1768</v>
      </c>
      <c r="D152" s="63" t="s">
        <v>1769</v>
      </c>
      <c r="E152" s="63" t="s">
        <v>1863</v>
      </c>
      <c r="F152" s="62" t="str">
        <f ca="1">IFERROR(__xludf.DUMMYFUNCTION("GOOGLETRANSLATE(E541, ""ja"",""en"")"),"present day")</f>
        <v>present day</v>
      </c>
    </row>
    <row r="153" spans="1:6" ht="21">
      <c r="A153" s="84"/>
      <c r="B153" s="59" t="s">
        <v>83</v>
      </c>
      <c r="C153" s="65" t="s">
        <v>1768</v>
      </c>
      <c r="D153" s="63" t="s">
        <v>1770</v>
      </c>
      <c r="E153" s="63" t="s">
        <v>1864</v>
      </c>
      <c r="F153" s="62" t="s">
        <v>1146</v>
      </c>
    </row>
    <row r="154" spans="1:6" ht="21">
      <c r="A154" s="84"/>
      <c r="B154" s="59" t="s">
        <v>83</v>
      </c>
      <c r="C154" s="65" t="s">
        <v>1768</v>
      </c>
      <c r="D154" s="63" t="s">
        <v>1771</v>
      </c>
      <c r="E154" s="63" t="s">
        <v>1865</v>
      </c>
      <c r="F154" s="62" t="s">
        <v>1271</v>
      </c>
    </row>
    <row r="155" spans="1:6" ht="21">
      <c r="A155" s="84"/>
      <c r="B155" s="59" t="s">
        <v>83</v>
      </c>
      <c r="C155" s="65" t="s">
        <v>1768</v>
      </c>
      <c r="D155" s="63" t="s">
        <v>1772</v>
      </c>
      <c r="E155" s="63" t="s">
        <v>1866</v>
      </c>
      <c r="F155" s="61" t="s">
        <v>1272</v>
      </c>
    </row>
    <row r="156" spans="1:6" ht="21">
      <c r="A156" s="84"/>
      <c r="B156" s="59" t="s">
        <v>83</v>
      </c>
      <c r="C156" s="65" t="s">
        <v>1768</v>
      </c>
      <c r="D156" s="61" t="s">
        <v>1773</v>
      </c>
      <c r="E156" s="63" t="s">
        <v>3503</v>
      </c>
      <c r="F156" s="61" t="s">
        <v>1273</v>
      </c>
    </row>
    <row r="157" spans="1:6" ht="21">
      <c r="A157" s="84"/>
      <c r="B157" s="59" t="s">
        <v>83</v>
      </c>
      <c r="C157" s="65" t="s">
        <v>1768</v>
      </c>
      <c r="D157" s="61" t="s">
        <v>1275</v>
      </c>
      <c r="E157" s="63" t="s">
        <v>1774</v>
      </c>
      <c r="F157" s="62" t="s">
        <v>1274</v>
      </c>
    </row>
    <row r="158" spans="1:6" ht="21">
      <c r="A158" s="84"/>
      <c r="B158" s="59" t="s">
        <v>83</v>
      </c>
      <c r="C158" s="65" t="s">
        <v>1768</v>
      </c>
      <c r="D158" s="63" t="s">
        <v>1775</v>
      </c>
      <c r="E158" s="63" t="s">
        <v>1867</v>
      </c>
      <c r="F158" s="62" t="s">
        <v>1776</v>
      </c>
    </row>
    <row r="159" spans="1:6" ht="21">
      <c r="A159" s="84"/>
      <c r="B159" s="59" t="s">
        <v>83</v>
      </c>
      <c r="C159" s="65" t="s">
        <v>1768</v>
      </c>
      <c r="D159" s="63" t="s">
        <v>1276</v>
      </c>
      <c r="E159" s="63" t="s">
        <v>1277</v>
      </c>
      <c r="F159" s="62" t="s">
        <v>1278</v>
      </c>
    </row>
    <row r="160" spans="1:6" ht="21">
      <c r="A160" s="84"/>
      <c r="B160" s="59" t="s">
        <v>83</v>
      </c>
      <c r="C160" s="65" t="s">
        <v>1777</v>
      </c>
      <c r="D160" s="61" t="s">
        <v>1778</v>
      </c>
      <c r="E160" s="64" t="s">
        <v>1781</v>
      </c>
      <c r="F160" s="61" t="s">
        <v>1180</v>
      </c>
    </row>
    <row r="161" spans="1:6" ht="21">
      <c r="A161" s="84"/>
      <c r="B161" s="59" t="s">
        <v>83</v>
      </c>
      <c r="C161" s="65" t="s">
        <v>1777</v>
      </c>
      <c r="D161" s="63" t="s">
        <v>1280</v>
      </c>
      <c r="E161" s="63" t="s">
        <v>1281</v>
      </c>
      <c r="F161" s="43" t="s">
        <v>1279</v>
      </c>
    </row>
    <row r="162" spans="1:6" ht="21">
      <c r="A162" s="84"/>
      <c r="B162" s="59" t="s">
        <v>83</v>
      </c>
      <c r="C162" s="65" t="s">
        <v>1777</v>
      </c>
      <c r="D162" s="63" t="s">
        <v>1282</v>
      </c>
      <c r="E162" s="63" t="s">
        <v>1283</v>
      </c>
      <c r="F162" s="61" t="s">
        <v>3665</v>
      </c>
    </row>
    <row r="163" spans="1:6" ht="21">
      <c r="A163" s="84"/>
      <c r="B163" s="59" t="s">
        <v>83</v>
      </c>
      <c r="C163" s="65" t="s">
        <v>1779</v>
      </c>
      <c r="D163" s="63" t="s">
        <v>1284</v>
      </c>
      <c r="E163" s="63" t="s">
        <v>1284</v>
      </c>
      <c r="F163" s="61" t="s">
        <v>1285</v>
      </c>
    </row>
    <row r="164" spans="1:6" ht="21">
      <c r="A164" s="85"/>
      <c r="B164" s="59" t="s">
        <v>83</v>
      </c>
      <c r="C164" s="65" t="s">
        <v>1779</v>
      </c>
      <c r="D164" s="61" t="s">
        <v>1780</v>
      </c>
      <c r="E164" s="61" t="s">
        <v>1592</v>
      </c>
      <c r="F164" s="61" t="s">
        <v>3643</v>
      </c>
    </row>
  </sheetData>
  <autoFilter ref="A1:G164" xr:uid="{B2893DB2-1B7B-4FFE-BCDA-9955CFBABB19}"/>
  <mergeCells count="1">
    <mergeCell ref="A2:A164"/>
  </mergeCells>
  <phoneticPr fontId="2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2F51E-1592-44BA-8213-25F32F89EB5E}">
  <dimension ref="A1:J160"/>
  <sheetViews>
    <sheetView zoomScaleNormal="100" workbookViewId="0">
      <pane ySplit="1" topLeftCell="A120" activePane="bottomLeft" state="frozen"/>
      <selection pane="bottomLeft" sqref="A1:F160"/>
    </sheetView>
  </sheetViews>
  <sheetFormatPr baseColWidth="10" defaultColWidth="11.28515625" defaultRowHeight="20"/>
  <cols>
    <col min="1" max="1" width="8.28515625" style="2" customWidth="1"/>
    <col min="2" max="2" width="9" style="2" customWidth="1"/>
    <col min="3" max="3" width="10.28515625" style="2" customWidth="1"/>
    <col min="4" max="4" width="17.5703125" style="2" customWidth="1"/>
    <col min="5" max="5" width="19" style="2" customWidth="1"/>
    <col min="6" max="6" width="21.28515625" style="2" customWidth="1"/>
    <col min="7" max="7" width="11.28515625" style="52"/>
    <col min="8" max="16384" width="11.28515625" style="2"/>
  </cols>
  <sheetData>
    <row r="1" spans="1:7" s="10" customFormat="1" ht="17">
      <c r="A1" s="72" t="s">
        <v>0</v>
      </c>
      <c r="B1" s="72" t="s">
        <v>1</v>
      </c>
      <c r="C1" s="73" t="s">
        <v>3747</v>
      </c>
      <c r="D1" s="72" t="s">
        <v>3740</v>
      </c>
      <c r="E1" s="72" t="s">
        <v>3741</v>
      </c>
      <c r="F1" s="72" t="s">
        <v>3742</v>
      </c>
    </row>
    <row r="2" spans="1:7" ht="21">
      <c r="A2" s="86" t="s">
        <v>1868</v>
      </c>
      <c r="B2" s="59"/>
      <c r="C2" s="60" t="s">
        <v>1611</v>
      </c>
      <c r="D2" s="63" t="s">
        <v>1869</v>
      </c>
      <c r="E2" s="63" t="s">
        <v>2054</v>
      </c>
      <c r="F2" s="62" t="str">
        <f ca="1">IFERROR(__xludf.DUMMYFUNCTION("GOOGLETRANSLATE(E404, ""ja"",""en"")"),"food")</f>
        <v>food</v>
      </c>
      <c r="G2" s="57"/>
    </row>
    <row r="3" spans="1:7" ht="21">
      <c r="A3" s="86"/>
      <c r="B3" s="59"/>
      <c r="C3" s="60" t="s">
        <v>1611</v>
      </c>
      <c r="D3" s="63" t="s">
        <v>1870</v>
      </c>
      <c r="E3" s="63" t="s">
        <v>3487</v>
      </c>
      <c r="F3" s="62" t="str">
        <f ca="1">IFERROR(__xludf.DUMMYFUNCTION("GOOGLETRANSLATE(E63, ""ja"",""en"")"),"gender")</f>
        <v>gender</v>
      </c>
      <c r="G3" s="57"/>
    </row>
    <row r="4" spans="1:7" ht="21">
      <c r="A4" s="86"/>
      <c r="B4" s="59" t="s">
        <v>1613</v>
      </c>
      <c r="C4" s="60" t="s">
        <v>1614</v>
      </c>
      <c r="D4" s="63" t="s">
        <v>1871</v>
      </c>
      <c r="E4" s="63" t="s">
        <v>1286</v>
      </c>
      <c r="F4" s="62" t="str">
        <f ca="1">IFERROR(__xludf.DUMMYFUNCTION("GOOGLETRANSLATE(E18, ""ja"",""en"")"),"my home")</f>
        <v>my home</v>
      </c>
      <c r="G4" s="57"/>
    </row>
    <row r="5" spans="1:7" ht="21">
      <c r="A5" s="86"/>
      <c r="B5" s="59" t="s">
        <v>8</v>
      </c>
      <c r="C5" s="65" t="s">
        <v>1937</v>
      </c>
      <c r="D5" s="61" t="s">
        <v>1873</v>
      </c>
      <c r="E5" s="63" t="s">
        <v>2055</v>
      </c>
      <c r="F5" s="62" t="str">
        <f ca="1">IFERROR(__xludf.DUMMYFUNCTION("GOOGLETRANSLATE(E28, ""ja"",""en"")"),"for")</f>
        <v>for</v>
      </c>
      <c r="G5" s="57"/>
    </row>
    <row r="6" spans="1:7" ht="21">
      <c r="A6" s="86"/>
      <c r="B6" s="59" t="s">
        <v>8</v>
      </c>
      <c r="C6" s="60" t="s">
        <v>1874</v>
      </c>
      <c r="D6" s="63" t="s">
        <v>1875</v>
      </c>
      <c r="E6" s="63" t="s">
        <v>2056</v>
      </c>
      <c r="F6" s="62" t="str">
        <f ca="1">IFERROR(__xludf.DUMMYFUNCTION("GOOGLETRANSLATE(E7, ""ja"",""en"")"),"memorable")</f>
        <v>memorable</v>
      </c>
      <c r="G6" s="57"/>
    </row>
    <row r="7" spans="1:7" ht="21">
      <c r="A7" s="86"/>
      <c r="B7" s="59" t="s">
        <v>8</v>
      </c>
      <c r="C7" s="60" t="s">
        <v>1876</v>
      </c>
      <c r="D7" s="63" t="s">
        <v>1877</v>
      </c>
      <c r="E7" s="63" t="s">
        <v>2057</v>
      </c>
      <c r="F7" s="62" t="s">
        <v>1878</v>
      </c>
      <c r="G7" s="57"/>
    </row>
    <row r="8" spans="1:7" ht="21">
      <c r="A8" s="86"/>
      <c r="B8" s="59" t="s">
        <v>8</v>
      </c>
      <c r="C8" s="60" t="s">
        <v>1621</v>
      </c>
      <c r="D8" s="63" t="s">
        <v>1879</v>
      </c>
      <c r="E8" s="63" t="s">
        <v>2058</v>
      </c>
      <c r="F8" s="62" t="str">
        <f ca="1">IFERROR(__xludf.DUMMYFUNCTION("GOOGLETRANSLATE(E9, ""ja"",""en"")"),"Japanese white radish")</f>
        <v>Japanese white radish</v>
      </c>
      <c r="G8" s="57"/>
    </row>
    <row r="9" spans="1:7" ht="21">
      <c r="A9" s="86"/>
      <c r="B9" s="59" t="s">
        <v>8</v>
      </c>
      <c r="C9" s="60" t="s">
        <v>1621</v>
      </c>
      <c r="D9" s="63" t="s">
        <v>1880</v>
      </c>
      <c r="E9" s="63" t="s">
        <v>2059</v>
      </c>
      <c r="F9" s="62" t="s">
        <v>971</v>
      </c>
      <c r="G9" s="57"/>
    </row>
    <row r="10" spans="1:7" ht="21">
      <c r="A10" s="86"/>
      <c r="B10" s="59" t="s">
        <v>8</v>
      </c>
      <c r="C10" s="60" t="s">
        <v>1881</v>
      </c>
      <c r="D10" s="63" t="s">
        <v>1882</v>
      </c>
      <c r="E10" s="63" t="s">
        <v>2060</v>
      </c>
      <c r="F10" s="62" t="s">
        <v>700</v>
      </c>
      <c r="G10" s="57"/>
    </row>
    <row r="11" spans="1:7" ht="21">
      <c r="A11" s="86"/>
      <c r="B11" s="59" t="s">
        <v>8</v>
      </c>
      <c r="C11" s="60" t="s">
        <v>1626</v>
      </c>
      <c r="D11" s="63" t="s">
        <v>1287</v>
      </c>
      <c r="E11" s="63" t="s">
        <v>1288</v>
      </c>
      <c r="F11" s="61" t="s">
        <v>1289</v>
      </c>
      <c r="G11" s="57"/>
    </row>
    <row r="12" spans="1:7" ht="21">
      <c r="A12" s="86"/>
      <c r="B12" s="59" t="s">
        <v>8</v>
      </c>
      <c r="C12" s="60" t="s">
        <v>1626</v>
      </c>
      <c r="D12" s="63" t="s">
        <v>1883</v>
      </c>
      <c r="E12" s="63" t="s">
        <v>2061</v>
      </c>
      <c r="F12" s="61" t="s">
        <v>1885</v>
      </c>
      <c r="G12" s="57"/>
    </row>
    <row r="13" spans="1:7" ht="21">
      <c r="A13" s="86"/>
      <c r="B13" s="59" t="s">
        <v>8</v>
      </c>
      <c r="C13" s="60" t="s">
        <v>1886</v>
      </c>
      <c r="D13" s="63" t="s">
        <v>1887</v>
      </c>
      <c r="E13" s="63" t="s">
        <v>2062</v>
      </c>
      <c r="F13" s="61" t="s">
        <v>1290</v>
      </c>
      <c r="G13" s="57"/>
    </row>
    <row r="14" spans="1:7" ht="21">
      <c r="A14" s="86"/>
      <c r="B14" s="59" t="s">
        <v>8</v>
      </c>
      <c r="C14" s="60" t="s">
        <v>1629</v>
      </c>
      <c r="D14" s="63" t="s">
        <v>1888</v>
      </c>
      <c r="E14" s="63" t="s">
        <v>2063</v>
      </c>
      <c r="F14" s="61" t="s">
        <v>1291</v>
      </c>
      <c r="G14" s="57"/>
    </row>
    <row r="15" spans="1:7" ht="21">
      <c r="A15" s="86"/>
      <c r="B15" s="59" t="s">
        <v>8</v>
      </c>
      <c r="C15" s="60" t="s">
        <v>1629</v>
      </c>
      <c r="D15" s="63" t="s">
        <v>1889</v>
      </c>
      <c r="E15" s="63" t="s">
        <v>2064</v>
      </c>
      <c r="F15" s="62" t="s">
        <v>1064</v>
      </c>
      <c r="G15" s="57"/>
    </row>
    <row r="16" spans="1:7" ht="21">
      <c r="A16" s="86"/>
      <c r="B16" s="59" t="s">
        <v>8</v>
      </c>
      <c r="C16" s="60" t="s">
        <v>1629</v>
      </c>
      <c r="D16" s="63" t="s">
        <v>1890</v>
      </c>
      <c r="E16" s="63" t="s">
        <v>1572</v>
      </c>
      <c r="F16" s="62" t="s">
        <v>1116</v>
      </c>
      <c r="G16" s="57"/>
    </row>
    <row r="17" spans="1:7" ht="21">
      <c r="A17" s="86"/>
      <c r="B17" s="59" t="s">
        <v>8</v>
      </c>
      <c r="C17" s="60" t="s">
        <v>1629</v>
      </c>
      <c r="D17" s="63" t="s">
        <v>1292</v>
      </c>
      <c r="E17" s="63" t="s">
        <v>1293</v>
      </c>
      <c r="F17" s="62" t="s">
        <v>1294</v>
      </c>
      <c r="G17" s="57"/>
    </row>
    <row r="18" spans="1:7" ht="42">
      <c r="A18" s="86"/>
      <c r="B18" s="59" t="s">
        <v>8</v>
      </c>
      <c r="C18" s="60" t="s">
        <v>1891</v>
      </c>
      <c r="D18" s="63" t="s">
        <v>1892</v>
      </c>
      <c r="E18" s="63" t="s">
        <v>2065</v>
      </c>
      <c r="F18" s="62" t="str">
        <f ca="1">IFERROR(__xludf.DUMMYFUNCTION("GOOGLETRANSLATE(E34, ""ja"",""en"")"),"Elementary school student")</f>
        <v>Elementary school student</v>
      </c>
      <c r="G18" s="57"/>
    </row>
    <row r="19" spans="1:7" ht="21">
      <c r="A19" s="86"/>
      <c r="B19" s="59" t="s">
        <v>8</v>
      </c>
      <c r="C19" s="60" t="s">
        <v>1893</v>
      </c>
      <c r="D19" s="63" t="s">
        <v>1894</v>
      </c>
      <c r="E19" s="63" t="s">
        <v>2066</v>
      </c>
      <c r="F19" s="62" t="s">
        <v>1295</v>
      </c>
      <c r="G19" s="57"/>
    </row>
    <row r="20" spans="1:7" ht="21">
      <c r="A20" s="86"/>
      <c r="B20" s="59" t="s">
        <v>8</v>
      </c>
      <c r="C20" s="60" t="s">
        <v>1638</v>
      </c>
      <c r="D20" s="63" t="s">
        <v>1895</v>
      </c>
      <c r="E20" s="63" t="s">
        <v>2067</v>
      </c>
      <c r="F20" s="62" t="str">
        <f ca="1">IFERROR(__xludf.DUMMYFUNCTION("GOOGLETRANSLATE(E36, ""ja"",""en"")"),"charm")</f>
        <v>charm</v>
      </c>
      <c r="G20" s="57"/>
    </row>
    <row r="21" spans="1:7" ht="21">
      <c r="A21" s="86"/>
      <c r="B21" s="59" t="s">
        <v>8</v>
      </c>
      <c r="C21" s="60" t="s">
        <v>1642</v>
      </c>
      <c r="D21" s="61" t="s">
        <v>1896</v>
      </c>
      <c r="E21" s="61" t="s">
        <v>1310</v>
      </c>
      <c r="F21" s="62" t="s">
        <v>3667</v>
      </c>
      <c r="G21" s="57"/>
    </row>
    <row r="22" spans="1:7" ht="21">
      <c r="A22" s="86"/>
      <c r="B22" s="59" t="s">
        <v>8</v>
      </c>
      <c r="C22" s="60" t="s">
        <v>1645</v>
      </c>
      <c r="D22" s="63" t="s">
        <v>1897</v>
      </c>
      <c r="E22" s="63" t="s">
        <v>2068</v>
      </c>
      <c r="F22" s="62" t="s">
        <v>3666</v>
      </c>
      <c r="G22" s="57"/>
    </row>
    <row r="23" spans="1:7" ht="21">
      <c r="A23" s="86"/>
      <c r="B23" s="59" t="s">
        <v>8</v>
      </c>
      <c r="C23" s="60" t="s">
        <v>1898</v>
      </c>
      <c r="D23" s="61" t="s">
        <v>1899</v>
      </c>
      <c r="E23" s="63" t="s">
        <v>1296</v>
      </c>
      <c r="F23" s="62" t="s">
        <v>3668</v>
      </c>
      <c r="G23" s="57"/>
    </row>
    <row r="24" spans="1:7" ht="21">
      <c r="A24" s="86"/>
      <c r="B24" s="59" t="s">
        <v>8</v>
      </c>
      <c r="C24" s="60" t="s">
        <v>1648</v>
      </c>
      <c r="D24" s="63" t="s">
        <v>1900</v>
      </c>
      <c r="E24" s="63" t="s">
        <v>2069</v>
      </c>
      <c r="F24" s="62" t="str">
        <f ca="1">IFERROR(__xludf.DUMMYFUNCTION("GOOGLETRANSLATE(E25, ""ja"",""en"")"),"remnant")</f>
        <v>remnant</v>
      </c>
      <c r="G24" s="57"/>
    </row>
    <row r="25" spans="1:7" ht="21">
      <c r="A25" s="86"/>
      <c r="B25" s="59" t="s">
        <v>8</v>
      </c>
      <c r="C25" s="60" t="s">
        <v>1901</v>
      </c>
      <c r="D25" s="63" t="s">
        <v>1902</v>
      </c>
      <c r="E25" s="63" t="s">
        <v>2070</v>
      </c>
      <c r="F25" s="61" t="s">
        <v>1297</v>
      </c>
      <c r="G25" s="57"/>
    </row>
    <row r="26" spans="1:7" ht="21">
      <c r="A26" s="86"/>
      <c r="B26" s="59" t="s">
        <v>8</v>
      </c>
      <c r="C26" s="60" t="s">
        <v>1655</v>
      </c>
      <c r="D26" s="63" t="s">
        <v>1903</v>
      </c>
      <c r="E26" s="63" t="s">
        <v>2071</v>
      </c>
      <c r="F26" s="62" t="str">
        <f ca="1">IFERROR(__xludf.DUMMYFUNCTION("GOOGLETRANSLATE(E150, ""ja"",""en"")"),"mother")</f>
        <v>mother</v>
      </c>
      <c r="G26" s="57"/>
    </row>
    <row r="27" spans="1:7" ht="21">
      <c r="A27" s="86"/>
      <c r="B27" s="59" t="s">
        <v>8</v>
      </c>
      <c r="C27" s="65" t="s">
        <v>1981</v>
      </c>
      <c r="D27" s="61" t="s">
        <v>1905</v>
      </c>
      <c r="E27" s="61" t="s">
        <v>1499</v>
      </c>
      <c r="F27" s="62" t="str">
        <f ca="1">IFERROR(__xludf.DUMMYFUNCTION("GOOGLETRANSLATE(E829, ""ja"",""en"")"),"various")</f>
        <v>various</v>
      </c>
      <c r="G27" s="56"/>
    </row>
    <row r="28" spans="1:7" ht="21">
      <c r="A28" s="86"/>
      <c r="B28" s="59" t="s">
        <v>8</v>
      </c>
      <c r="C28" s="60" t="s">
        <v>1906</v>
      </c>
      <c r="D28" s="63" t="s">
        <v>1907</v>
      </c>
      <c r="E28" s="63" t="s">
        <v>2072</v>
      </c>
      <c r="F28" s="62" t="str">
        <f ca="1">IFERROR(__xludf.DUMMYFUNCTION("GOOGLETRANSLATE(E397, ""ja"",""en"")"),"friend")</f>
        <v>friend</v>
      </c>
      <c r="G28" s="57"/>
    </row>
    <row r="29" spans="1:7" ht="42">
      <c r="A29" s="86"/>
      <c r="B29" s="59" t="s">
        <v>8</v>
      </c>
      <c r="C29" s="60" t="s">
        <v>1717</v>
      </c>
      <c r="D29" s="61" t="s">
        <v>3669</v>
      </c>
      <c r="E29" s="61" t="s">
        <v>3670</v>
      </c>
      <c r="F29" s="62" t="s">
        <v>3671</v>
      </c>
      <c r="G29" s="57"/>
    </row>
    <row r="30" spans="1:7" ht="21">
      <c r="A30" s="86"/>
      <c r="B30" s="59" t="s">
        <v>8</v>
      </c>
      <c r="C30" s="60" t="s">
        <v>1908</v>
      </c>
      <c r="D30" s="63" t="s">
        <v>1298</v>
      </c>
      <c r="E30" s="63" t="s">
        <v>1299</v>
      </c>
      <c r="F30" s="62" t="s">
        <v>1300</v>
      </c>
      <c r="G30" s="57"/>
    </row>
    <row r="31" spans="1:7" ht="21">
      <c r="A31" s="86"/>
      <c r="B31" s="59" t="s">
        <v>8</v>
      </c>
      <c r="C31" s="60" t="s">
        <v>1909</v>
      </c>
      <c r="D31" s="63" t="s">
        <v>1910</v>
      </c>
      <c r="E31" s="63" t="s">
        <v>2073</v>
      </c>
      <c r="F31" s="61" t="s">
        <v>1373</v>
      </c>
      <c r="G31" s="57"/>
    </row>
    <row r="32" spans="1:7" ht="21">
      <c r="A32" s="86"/>
      <c r="B32" s="59" t="s">
        <v>8</v>
      </c>
      <c r="C32" s="60" t="s">
        <v>1663</v>
      </c>
      <c r="D32" s="63" t="s">
        <v>1911</v>
      </c>
      <c r="E32" s="63" t="s">
        <v>2074</v>
      </c>
      <c r="F32" s="62" t="s">
        <v>3672</v>
      </c>
      <c r="G32" s="57"/>
    </row>
    <row r="33" spans="1:7" ht="21">
      <c r="A33" s="86"/>
      <c r="B33" s="59" t="s">
        <v>8</v>
      </c>
      <c r="C33" s="60" t="s">
        <v>1663</v>
      </c>
      <c r="D33" s="63" t="s">
        <v>1912</v>
      </c>
      <c r="E33" s="63" t="s">
        <v>2075</v>
      </c>
      <c r="F33" s="61" t="s">
        <v>1913</v>
      </c>
      <c r="G33" s="57"/>
    </row>
    <row r="34" spans="1:7" ht="21">
      <c r="A34" s="86"/>
      <c r="B34" s="59" t="s">
        <v>8</v>
      </c>
      <c r="C34" s="60" t="s">
        <v>1663</v>
      </c>
      <c r="D34" s="61" t="s">
        <v>1914</v>
      </c>
      <c r="E34" s="61" t="s">
        <v>2076</v>
      </c>
      <c r="F34" s="61" t="s">
        <v>3673</v>
      </c>
      <c r="G34" s="57"/>
    </row>
    <row r="35" spans="1:7" ht="21">
      <c r="A35" s="86"/>
      <c r="B35" s="59" t="s">
        <v>8</v>
      </c>
      <c r="C35" s="60" t="s">
        <v>1666</v>
      </c>
      <c r="D35" s="63" t="s">
        <v>1915</v>
      </c>
      <c r="E35" s="63" t="s">
        <v>2077</v>
      </c>
      <c r="F35" s="61" t="s">
        <v>1301</v>
      </c>
      <c r="G35" s="57"/>
    </row>
    <row r="36" spans="1:7" ht="21">
      <c r="A36" s="86"/>
      <c r="B36" s="59" t="s">
        <v>8</v>
      </c>
      <c r="C36" s="60" t="s">
        <v>1666</v>
      </c>
      <c r="D36" s="63" t="s">
        <v>1123</v>
      </c>
      <c r="E36" s="63" t="s">
        <v>1124</v>
      </c>
      <c r="F36" s="61" t="s">
        <v>3674</v>
      </c>
      <c r="G36" s="57"/>
    </row>
    <row r="37" spans="1:7" ht="21">
      <c r="A37" s="86"/>
      <c r="B37" s="59" t="s">
        <v>8</v>
      </c>
      <c r="C37" s="65" t="s">
        <v>1740</v>
      </c>
      <c r="D37" s="61" t="s">
        <v>1916</v>
      </c>
      <c r="E37" s="61" t="s">
        <v>1513</v>
      </c>
      <c r="F37" s="61" t="s">
        <v>1073</v>
      </c>
      <c r="G37" s="57"/>
    </row>
    <row r="38" spans="1:7" ht="21">
      <c r="A38" s="86"/>
      <c r="B38" s="59" t="s">
        <v>8</v>
      </c>
      <c r="C38" s="60" t="s">
        <v>1917</v>
      </c>
      <c r="D38" s="63" t="s">
        <v>1918</v>
      </c>
      <c r="E38" s="63" t="s">
        <v>2078</v>
      </c>
      <c r="F38" s="62" t="str">
        <f ca="1">IFERROR(__xludf.DUMMYFUNCTION("GOOGLETRANSLATE(E565, ""ja"",""en"")"),"where one is from")</f>
        <v>where one is from</v>
      </c>
      <c r="G38" s="57"/>
    </row>
    <row r="39" spans="1:7" ht="42">
      <c r="A39" s="86"/>
      <c r="B39" s="59" t="s">
        <v>8</v>
      </c>
      <c r="C39" s="60" t="s">
        <v>1740</v>
      </c>
      <c r="D39" s="61" t="s">
        <v>1919</v>
      </c>
      <c r="E39" s="63" t="s">
        <v>2079</v>
      </c>
      <c r="F39" s="62" t="s">
        <v>1920</v>
      </c>
      <c r="G39" s="57"/>
    </row>
    <row r="40" spans="1:7" ht="21">
      <c r="A40" s="86"/>
      <c r="B40" s="59" t="s">
        <v>8</v>
      </c>
      <c r="C40" s="60" t="s">
        <v>1740</v>
      </c>
      <c r="D40" s="63" t="s">
        <v>1921</v>
      </c>
      <c r="E40" s="63" t="s">
        <v>2080</v>
      </c>
      <c r="F40" s="62" t="s">
        <v>1922</v>
      </c>
      <c r="G40" s="57"/>
    </row>
    <row r="41" spans="1:7" ht="21">
      <c r="A41" s="86"/>
      <c r="B41" s="59" t="s">
        <v>8</v>
      </c>
      <c r="C41" s="60" t="s">
        <v>1923</v>
      </c>
      <c r="D41" s="63" t="s">
        <v>1924</v>
      </c>
      <c r="E41" s="63" t="s">
        <v>2081</v>
      </c>
      <c r="F41" s="61" t="s">
        <v>1302</v>
      </c>
      <c r="G41" s="57"/>
    </row>
    <row r="42" spans="1:7" ht="21">
      <c r="A42" s="86"/>
      <c r="B42" s="59" t="s">
        <v>8</v>
      </c>
      <c r="C42" s="60" t="s">
        <v>1925</v>
      </c>
      <c r="D42" s="63" t="s">
        <v>1627</v>
      </c>
      <c r="E42" s="63" t="s">
        <v>1786</v>
      </c>
      <c r="F42" s="62" t="s">
        <v>711</v>
      </c>
      <c r="G42" s="57"/>
    </row>
    <row r="43" spans="1:7" ht="21">
      <c r="A43" s="86"/>
      <c r="B43" s="59" t="s">
        <v>8</v>
      </c>
      <c r="C43" s="65" t="s">
        <v>2031</v>
      </c>
      <c r="D43" s="63" t="s">
        <v>1303</v>
      </c>
      <c r="E43" s="63" t="s">
        <v>1304</v>
      </c>
      <c r="F43" s="61" t="s">
        <v>1307</v>
      </c>
      <c r="G43" s="56"/>
    </row>
    <row r="44" spans="1:7" ht="21">
      <c r="A44" s="86"/>
      <c r="B44" s="59" t="s">
        <v>8</v>
      </c>
      <c r="C44" s="65" t="s">
        <v>1761</v>
      </c>
      <c r="D44" s="63" t="s">
        <v>1927</v>
      </c>
      <c r="E44" s="63" t="s">
        <v>2082</v>
      </c>
      <c r="F44" s="61" t="s">
        <v>1305</v>
      </c>
      <c r="G44" s="56"/>
    </row>
    <row r="45" spans="1:7" ht="21">
      <c r="A45" s="86"/>
      <c r="B45" s="59" t="s">
        <v>8</v>
      </c>
      <c r="C45" s="65" t="s">
        <v>1761</v>
      </c>
      <c r="D45" s="63" t="s">
        <v>1928</v>
      </c>
      <c r="E45" s="63" t="s">
        <v>2083</v>
      </c>
      <c r="F45" s="91" t="s">
        <v>3768</v>
      </c>
      <c r="G45" s="57"/>
    </row>
    <row r="46" spans="1:7" ht="21">
      <c r="A46" s="86"/>
      <c r="B46" s="59" t="s">
        <v>8</v>
      </c>
      <c r="C46" s="65" t="s">
        <v>1768</v>
      </c>
      <c r="D46" s="61" t="s">
        <v>1632</v>
      </c>
      <c r="E46" s="61" t="s">
        <v>1789</v>
      </c>
      <c r="F46" s="61" t="s">
        <v>1306</v>
      </c>
      <c r="G46" s="56"/>
    </row>
    <row r="47" spans="1:7" ht="63">
      <c r="A47" s="86"/>
      <c r="B47" s="59" t="s">
        <v>1677</v>
      </c>
      <c r="C47" s="60" t="s">
        <v>1614</v>
      </c>
      <c r="D47" s="63" t="s">
        <v>1930</v>
      </c>
      <c r="E47" s="63" t="s">
        <v>2084</v>
      </c>
      <c r="F47" s="61" t="s">
        <v>1308</v>
      </c>
      <c r="G47" s="57"/>
    </row>
    <row r="48" spans="1:7" ht="21">
      <c r="A48" s="86"/>
      <c r="B48" s="59" t="s">
        <v>1677</v>
      </c>
      <c r="C48" s="60" t="s">
        <v>1614</v>
      </c>
      <c r="D48" s="61" t="s">
        <v>1896</v>
      </c>
      <c r="E48" s="61" t="s">
        <v>3754</v>
      </c>
      <c r="F48" s="61" t="s">
        <v>3755</v>
      </c>
      <c r="G48" s="57"/>
    </row>
    <row r="49" spans="1:7" ht="21">
      <c r="A49" s="86"/>
      <c r="B49" s="59" t="s">
        <v>1677</v>
      </c>
      <c r="C49" s="60" t="s">
        <v>1872</v>
      </c>
      <c r="D49" s="63" t="s">
        <v>1311</v>
      </c>
      <c r="E49" s="63" t="s">
        <v>3488</v>
      </c>
      <c r="F49" s="62" t="s">
        <v>703</v>
      </c>
      <c r="G49" s="57"/>
    </row>
    <row r="50" spans="1:7" ht="21">
      <c r="A50" s="86"/>
      <c r="B50" s="59" t="s">
        <v>83</v>
      </c>
      <c r="C50" s="60" t="s">
        <v>1872</v>
      </c>
      <c r="D50" s="63" t="s">
        <v>1931</v>
      </c>
      <c r="E50" s="63" t="s">
        <v>2085</v>
      </c>
      <c r="F50" s="62" t="str">
        <f ca="1">IFERROR(__xludf.DUMMYFUNCTION("GOOGLETRANSLATE(E329, ""ja"",""en"")"),"men and women")</f>
        <v>men and women</v>
      </c>
      <c r="G50" s="57"/>
    </row>
    <row r="51" spans="1:7" ht="21">
      <c r="A51" s="86"/>
      <c r="B51" s="59" t="s">
        <v>83</v>
      </c>
      <c r="C51" s="60" t="s">
        <v>1872</v>
      </c>
      <c r="D51" s="63" t="s">
        <v>1932</v>
      </c>
      <c r="E51" s="63" t="s">
        <v>2086</v>
      </c>
      <c r="F51" s="62" t="s">
        <v>1313</v>
      </c>
      <c r="G51" s="56"/>
    </row>
    <row r="52" spans="1:7" ht="21">
      <c r="A52" s="86"/>
      <c r="B52" s="59" t="s">
        <v>83</v>
      </c>
      <c r="C52" s="60" t="s">
        <v>1872</v>
      </c>
      <c r="D52" s="63" t="s">
        <v>1933</v>
      </c>
      <c r="E52" s="63" t="s">
        <v>2087</v>
      </c>
      <c r="F52" s="62" t="str">
        <f ca="1">IFERROR(__xludf.DUMMYFUNCTION("GOOGLETRANSLATE(E112, ""ja"",""en"")"),"expression")</f>
        <v>expression</v>
      </c>
      <c r="G52" s="57"/>
    </row>
    <row r="53" spans="1:7" ht="21">
      <c r="A53" s="86"/>
      <c r="B53" s="59" t="s">
        <v>83</v>
      </c>
      <c r="C53" s="60" t="s">
        <v>1872</v>
      </c>
      <c r="D53" s="63" t="s">
        <v>1934</v>
      </c>
      <c r="E53" s="63" t="s">
        <v>2088</v>
      </c>
      <c r="F53" s="62" t="str">
        <f ca="1">IFERROR(__xludf.DUMMYFUNCTION("GOOGLETRANSLATE(E692, ""ja"",""en"")"),"example")</f>
        <v>example</v>
      </c>
      <c r="G53" s="57"/>
    </row>
    <row r="54" spans="1:7" ht="42">
      <c r="A54" s="86"/>
      <c r="B54" s="59" t="s">
        <v>83</v>
      </c>
      <c r="C54" s="60" t="s">
        <v>1872</v>
      </c>
      <c r="D54" s="63" t="s">
        <v>1935</v>
      </c>
      <c r="E54" s="63" t="s">
        <v>2089</v>
      </c>
      <c r="F54" s="61" t="s">
        <v>1936</v>
      </c>
      <c r="G54" s="57"/>
    </row>
    <row r="55" spans="1:7" ht="63">
      <c r="A55" s="86"/>
      <c r="B55" s="59" t="s">
        <v>83</v>
      </c>
      <c r="C55" s="60" t="s">
        <v>1937</v>
      </c>
      <c r="D55" s="63" t="s">
        <v>1938</v>
      </c>
      <c r="E55" s="63" t="s">
        <v>2084</v>
      </c>
      <c r="F55" s="61" t="s">
        <v>1308</v>
      </c>
      <c r="G55" s="57"/>
    </row>
    <row r="56" spans="1:7" ht="21">
      <c r="A56" s="86"/>
      <c r="B56" s="59" t="s">
        <v>83</v>
      </c>
      <c r="C56" s="60" t="s">
        <v>1619</v>
      </c>
      <c r="D56" s="63" t="s">
        <v>1939</v>
      </c>
      <c r="E56" s="63" t="s">
        <v>3457</v>
      </c>
      <c r="F56" s="61" t="s">
        <v>1314</v>
      </c>
      <c r="G56" s="57"/>
    </row>
    <row r="57" spans="1:7" ht="21">
      <c r="A57" s="86"/>
      <c r="B57" s="59" t="s">
        <v>83</v>
      </c>
      <c r="C57" s="60" t="s">
        <v>1619</v>
      </c>
      <c r="D57" s="63" t="s">
        <v>1940</v>
      </c>
      <c r="E57" s="63" t="s">
        <v>2090</v>
      </c>
      <c r="F57" s="62" t="s">
        <v>1315</v>
      </c>
      <c r="G57" s="56"/>
    </row>
    <row r="58" spans="1:7" ht="21">
      <c r="A58" s="86"/>
      <c r="B58" s="59" t="s">
        <v>83</v>
      </c>
      <c r="C58" s="60" t="s">
        <v>1876</v>
      </c>
      <c r="D58" s="63" t="s">
        <v>1941</v>
      </c>
      <c r="E58" s="63" t="s">
        <v>2091</v>
      </c>
      <c r="F58" s="62" t="str">
        <f ca="1">IFERROR(__xludf.DUMMYFUNCTION("GOOGLETRANSLATE(E45, ""ja"",""en"")"),"rice bowl")</f>
        <v>rice bowl</v>
      </c>
      <c r="G58" s="56"/>
    </row>
    <row r="59" spans="1:7" ht="21">
      <c r="A59" s="86"/>
      <c r="B59" s="59" t="s">
        <v>83</v>
      </c>
      <c r="C59" s="60" t="s">
        <v>1621</v>
      </c>
      <c r="D59" s="63" t="s">
        <v>1942</v>
      </c>
      <c r="E59" s="63" t="s">
        <v>2092</v>
      </c>
      <c r="F59" s="62" t="str">
        <f ca="1">IFERROR(__xludf.DUMMYFUNCTION("GOOGLETRANSLATE(E434, ""ja"",""en"")"),"pasta")</f>
        <v>pasta</v>
      </c>
      <c r="G59" s="57"/>
    </row>
    <row r="60" spans="1:7" ht="21">
      <c r="A60" s="86"/>
      <c r="B60" s="59" t="s">
        <v>83</v>
      </c>
      <c r="C60" s="60" t="s">
        <v>1621</v>
      </c>
      <c r="D60" s="61" t="s">
        <v>1943</v>
      </c>
      <c r="E60" s="63" t="s">
        <v>2093</v>
      </c>
      <c r="F60" s="62" t="str">
        <f ca="1">IFERROR(__xludf.DUMMYFUNCTION("GOOGLETRANSLATE(E86, ""ja"",""en"")"),"simple")</f>
        <v>simple</v>
      </c>
      <c r="G60" s="57"/>
    </row>
    <row r="61" spans="1:7" ht="21">
      <c r="A61" s="86"/>
      <c r="B61" s="59" t="s">
        <v>83</v>
      </c>
      <c r="C61" s="60" t="s">
        <v>1621</v>
      </c>
      <c r="D61" s="63" t="s">
        <v>1944</v>
      </c>
      <c r="E61" s="63" t="s">
        <v>3489</v>
      </c>
      <c r="F61" s="61" t="s">
        <v>1316</v>
      </c>
      <c r="G61" s="57"/>
    </row>
    <row r="62" spans="1:7" ht="21">
      <c r="A62" s="86"/>
      <c r="B62" s="59" t="s">
        <v>83</v>
      </c>
      <c r="C62" s="60" t="s">
        <v>1945</v>
      </c>
      <c r="D62" s="63" t="s">
        <v>1946</v>
      </c>
      <c r="E62" s="63" t="s">
        <v>2094</v>
      </c>
      <c r="F62" s="62" t="str">
        <f ca="1">IFERROR(__xludf.DUMMYFUNCTION("GOOGLETRANSLATE(E56, ""ja"",""en"")"),"recipe")</f>
        <v>recipe</v>
      </c>
      <c r="G62" s="57"/>
    </row>
    <row r="63" spans="1:7" ht="21">
      <c r="A63" s="86"/>
      <c r="B63" s="59" t="s">
        <v>83</v>
      </c>
      <c r="C63" s="60" t="s">
        <v>1626</v>
      </c>
      <c r="D63" s="63" t="s">
        <v>1947</v>
      </c>
      <c r="E63" s="63" t="s">
        <v>1948</v>
      </c>
      <c r="F63" s="62" t="s">
        <v>1317</v>
      </c>
      <c r="G63" s="56"/>
    </row>
    <row r="64" spans="1:7" ht="21">
      <c r="A64" s="86"/>
      <c r="B64" s="59" t="s">
        <v>83</v>
      </c>
      <c r="C64" s="60" t="s">
        <v>1626</v>
      </c>
      <c r="D64" s="63" t="s">
        <v>1949</v>
      </c>
      <c r="E64" s="63" t="s">
        <v>1950</v>
      </c>
      <c r="F64" s="62" t="s">
        <v>1318</v>
      </c>
      <c r="G64" s="57"/>
    </row>
    <row r="65" spans="1:7" ht="21">
      <c r="A65" s="86"/>
      <c r="B65" s="59" t="s">
        <v>83</v>
      </c>
      <c r="C65" s="60" t="s">
        <v>1626</v>
      </c>
      <c r="D65" s="63" t="s">
        <v>1951</v>
      </c>
      <c r="E65" s="63" t="s">
        <v>2095</v>
      </c>
      <c r="F65" s="62" t="str">
        <f ca="1">IFERROR(__xludf.DUMMYFUNCTION("GOOGLETRANSLATE(E106, ""ja"",""en"")"),"feature")</f>
        <v>feature</v>
      </c>
      <c r="G65" s="57"/>
    </row>
    <row r="66" spans="1:7" ht="21">
      <c r="A66" s="86"/>
      <c r="B66" s="59" t="s">
        <v>83</v>
      </c>
      <c r="C66" s="60" t="s">
        <v>1952</v>
      </c>
      <c r="D66" s="63" t="s">
        <v>1953</v>
      </c>
      <c r="E66" s="63" t="s">
        <v>2096</v>
      </c>
      <c r="F66" s="62" t="str">
        <f ca="1">IFERROR(__xludf.DUMMYFUNCTION("GOOGLETRANSLATE(E318, ""ja"",""en"")"),"simply")</f>
        <v>simply</v>
      </c>
      <c r="G66" s="57"/>
    </row>
    <row r="67" spans="1:7" ht="21">
      <c r="A67" s="86"/>
      <c r="B67" s="59" t="s">
        <v>83</v>
      </c>
      <c r="C67" s="60" t="s">
        <v>1629</v>
      </c>
      <c r="D67" s="63" t="s">
        <v>1954</v>
      </c>
      <c r="E67" s="63" t="s">
        <v>2097</v>
      </c>
      <c r="F67" s="61" t="s">
        <v>1319</v>
      </c>
      <c r="G67" s="57"/>
    </row>
    <row r="68" spans="1:7" ht="21">
      <c r="A68" s="86"/>
      <c r="B68" s="59" t="s">
        <v>83</v>
      </c>
      <c r="C68" s="60" t="s">
        <v>1629</v>
      </c>
      <c r="D68" s="63" t="s">
        <v>1955</v>
      </c>
      <c r="E68" s="63" t="s">
        <v>2098</v>
      </c>
      <c r="F68" s="62" t="s">
        <v>3675</v>
      </c>
      <c r="G68" s="57"/>
    </row>
    <row r="69" spans="1:7" ht="21">
      <c r="A69" s="86"/>
      <c r="B69" s="59" t="s">
        <v>83</v>
      </c>
      <c r="C69" s="60" t="s">
        <v>1629</v>
      </c>
      <c r="D69" s="63" t="s">
        <v>1956</v>
      </c>
      <c r="E69" s="63" t="s">
        <v>2099</v>
      </c>
      <c r="F69" s="62" t="str">
        <f ca="1">IFERROR(__xludf.DUMMYFUNCTION("GOOGLETRANSLATE(E108, ""ja"",""en"")"),"ordinary")</f>
        <v>ordinary</v>
      </c>
      <c r="G69" s="56"/>
    </row>
    <row r="70" spans="1:7" ht="21">
      <c r="A70" s="86"/>
      <c r="B70" s="59" t="s">
        <v>83</v>
      </c>
      <c r="C70" s="65" t="s">
        <v>1633</v>
      </c>
      <c r="D70" s="61" t="s">
        <v>1957</v>
      </c>
      <c r="E70" s="63"/>
      <c r="F70" s="62" t="s">
        <v>1312</v>
      </c>
      <c r="G70" s="56"/>
    </row>
    <row r="71" spans="1:7" ht="21">
      <c r="A71" s="86"/>
      <c r="B71" s="59" t="s">
        <v>83</v>
      </c>
      <c r="C71" s="60" t="s">
        <v>1633</v>
      </c>
      <c r="D71" s="63" t="s">
        <v>1958</v>
      </c>
      <c r="E71" s="63" t="s">
        <v>2100</v>
      </c>
      <c r="F71" s="62" t="s">
        <v>3676</v>
      </c>
      <c r="G71" s="57"/>
    </row>
    <row r="72" spans="1:7" ht="21">
      <c r="A72" s="86"/>
      <c r="B72" s="59" t="s">
        <v>83</v>
      </c>
      <c r="C72" s="60" t="s">
        <v>1893</v>
      </c>
      <c r="D72" s="63" t="s">
        <v>1959</v>
      </c>
      <c r="E72" s="63" t="s">
        <v>2101</v>
      </c>
      <c r="F72" s="62" t="s">
        <v>1320</v>
      </c>
      <c r="G72" s="57"/>
    </row>
    <row r="73" spans="1:7" ht="21">
      <c r="A73" s="86"/>
      <c r="B73" s="59" t="s">
        <v>83</v>
      </c>
      <c r="C73" s="60" t="s">
        <v>1638</v>
      </c>
      <c r="D73" s="63" t="s">
        <v>1960</v>
      </c>
      <c r="E73" s="63" t="s">
        <v>2102</v>
      </c>
      <c r="F73" s="61" t="s">
        <v>1321</v>
      </c>
      <c r="G73" s="57"/>
    </row>
    <row r="74" spans="1:7" ht="21">
      <c r="A74" s="86"/>
      <c r="B74" s="59" t="s">
        <v>83</v>
      </c>
      <c r="C74" s="60" t="s">
        <v>1638</v>
      </c>
      <c r="D74" s="63" t="s">
        <v>1641</v>
      </c>
      <c r="E74" s="63" t="s">
        <v>1624</v>
      </c>
      <c r="F74" s="62" t="str">
        <f ca="1">IFERROR(__xludf.DUMMYFUNCTION("GOOGLETRANSLATE(E113, ""ja"",""en"")"),"impression")</f>
        <v>impression</v>
      </c>
      <c r="G74" s="57"/>
    </row>
    <row r="75" spans="1:7" ht="21">
      <c r="A75" s="86"/>
      <c r="B75" s="59" t="s">
        <v>83</v>
      </c>
      <c r="C75" s="60" t="s">
        <v>1638</v>
      </c>
      <c r="D75" s="63" t="s">
        <v>1961</v>
      </c>
      <c r="E75" s="63" t="s">
        <v>2103</v>
      </c>
      <c r="F75" s="62" t="s">
        <v>1269</v>
      </c>
      <c r="G75" s="57"/>
    </row>
    <row r="76" spans="1:7" ht="21">
      <c r="A76" s="86"/>
      <c r="B76" s="59" t="s">
        <v>83</v>
      </c>
      <c r="C76" s="60" t="s">
        <v>1962</v>
      </c>
      <c r="D76" s="63" t="s">
        <v>1963</v>
      </c>
      <c r="E76" s="63" t="s">
        <v>1509</v>
      </c>
      <c r="F76" s="62" t="str">
        <f ca="1">IFERROR(__xludf.DUMMYFUNCTION("GOOGLETRANSLATE(E115, ""ja"",""en"")"),"originally")</f>
        <v>originally</v>
      </c>
      <c r="G76" s="57"/>
    </row>
    <row r="77" spans="1:7" ht="21">
      <c r="A77" s="86"/>
      <c r="B77" s="59" t="s">
        <v>83</v>
      </c>
      <c r="C77" s="60" t="s">
        <v>1640</v>
      </c>
      <c r="D77" s="63" t="s">
        <v>1964</v>
      </c>
      <c r="E77" s="63" t="s">
        <v>2104</v>
      </c>
      <c r="F77" s="62" t="s">
        <v>3677</v>
      </c>
      <c r="G77" s="57"/>
    </row>
    <row r="78" spans="1:7" ht="21">
      <c r="A78" s="86"/>
      <c r="B78" s="59" t="s">
        <v>83</v>
      </c>
      <c r="C78" s="60" t="s">
        <v>1640</v>
      </c>
      <c r="D78" s="63" t="s">
        <v>1965</v>
      </c>
      <c r="E78" s="63" t="s">
        <v>2105</v>
      </c>
      <c r="F78" s="62" t="str">
        <f ca="1">IFERROR(__xludf.DUMMYFUNCTION("GOOGLETRANSLATE(E62, ""ja"",""en"")"),"feminine")</f>
        <v>feminine</v>
      </c>
      <c r="G78" s="57"/>
    </row>
    <row r="79" spans="1:7" ht="21">
      <c r="A79" s="86"/>
      <c r="B79" s="59" t="s">
        <v>83</v>
      </c>
      <c r="C79" s="60" t="s">
        <v>1640</v>
      </c>
      <c r="D79" s="63" t="s">
        <v>1966</v>
      </c>
      <c r="E79" s="63" t="s">
        <v>2106</v>
      </c>
      <c r="F79" s="62" t="s">
        <v>3678</v>
      </c>
      <c r="G79" s="57"/>
    </row>
    <row r="80" spans="1:7" ht="21">
      <c r="A80" s="86"/>
      <c r="B80" s="59" t="s">
        <v>83</v>
      </c>
      <c r="C80" s="65" t="s">
        <v>1640</v>
      </c>
      <c r="D80" s="61" t="s">
        <v>1967</v>
      </c>
      <c r="E80" s="61" t="s">
        <v>3487</v>
      </c>
      <c r="F80" s="62" t="s">
        <v>675</v>
      </c>
      <c r="G80" s="57"/>
    </row>
    <row r="81" spans="1:7" ht="21">
      <c r="A81" s="86"/>
      <c r="B81" s="59" t="s">
        <v>83</v>
      </c>
      <c r="C81" s="60" t="s">
        <v>1968</v>
      </c>
      <c r="D81" s="63" t="s">
        <v>1969</v>
      </c>
      <c r="E81" s="63" t="s">
        <v>2107</v>
      </c>
      <c r="F81" s="62" t="str">
        <f ca="1">IFERROR(__xludf.DUMMYFUNCTION("GOOGLETRANSLATE(E87, ""ja"",""en"")"),"perspective")</f>
        <v>perspective</v>
      </c>
      <c r="G81" s="57"/>
    </row>
    <row r="82" spans="1:7" ht="21">
      <c r="A82" s="86"/>
      <c r="B82" s="59" t="s">
        <v>83</v>
      </c>
      <c r="C82" s="60" t="s">
        <v>1642</v>
      </c>
      <c r="D82" s="63" t="s">
        <v>1970</v>
      </c>
      <c r="E82" s="63" t="s">
        <v>2108</v>
      </c>
      <c r="F82" s="62" t="str">
        <f ca="1">IFERROR(__xludf.DUMMYFUNCTION("GOOGLETRANSLATE(E88, ""ja"",""en"")"),"suitable")</f>
        <v>suitable</v>
      </c>
      <c r="G82" s="57"/>
    </row>
    <row r="83" spans="1:7" ht="21">
      <c r="A83" s="86"/>
      <c r="B83" s="59" t="s">
        <v>83</v>
      </c>
      <c r="C83" s="60" t="s">
        <v>1642</v>
      </c>
      <c r="D83" s="63" t="s">
        <v>1971</v>
      </c>
      <c r="E83" s="63" t="s">
        <v>1537</v>
      </c>
      <c r="F83" s="62" t="str">
        <f ca="1">IFERROR(__xludf.DUMMYFUNCTION("GOOGLETRANSLATE(E119, ""ja"",""en"")"),"role")</f>
        <v>role</v>
      </c>
      <c r="G83" s="57"/>
    </row>
    <row r="84" spans="1:7" ht="21">
      <c r="A84" s="86"/>
      <c r="B84" s="59" t="s">
        <v>83</v>
      </c>
      <c r="C84" s="60" t="s">
        <v>1642</v>
      </c>
      <c r="D84" s="63" t="s">
        <v>1972</v>
      </c>
      <c r="E84" s="63" t="s">
        <v>2109</v>
      </c>
      <c r="F84" s="62" t="str">
        <f ca="1">IFERROR(__xludf.DUMMYFUNCTION("GOOGLETRANSLATE(E120, ""ja"",""en"")"),"behavior")</f>
        <v>behavior</v>
      </c>
      <c r="G84" s="57"/>
    </row>
    <row r="85" spans="1:7" ht="21">
      <c r="A85" s="86"/>
      <c r="B85" s="59" t="s">
        <v>83</v>
      </c>
      <c r="C85" s="60" t="s">
        <v>1642</v>
      </c>
      <c r="D85" s="63" t="s">
        <v>1973</v>
      </c>
      <c r="E85" s="63" t="s">
        <v>2110</v>
      </c>
      <c r="F85" s="62" t="str">
        <f ca="1">IFERROR(__xludf.DUMMYFUNCTION("GOOGLETRANSLATE(E121, ""ja"",""en"")"),"activity")</f>
        <v>activity</v>
      </c>
      <c r="G85" s="57"/>
    </row>
    <row r="86" spans="1:7" ht="21">
      <c r="A86" s="86"/>
      <c r="B86" s="59" t="s">
        <v>83</v>
      </c>
      <c r="C86" s="60" t="s">
        <v>1642</v>
      </c>
      <c r="D86" s="63" t="s">
        <v>1974</v>
      </c>
      <c r="E86" s="63" t="s">
        <v>2111</v>
      </c>
      <c r="F86" s="62" t="str">
        <f ca="1">IFERROR(__xludf.DUMMYFUNCTION("GOOGLETRANSLATE(E122, ""ja"",""en"")"),"position")</f>
        <v>position</v>
      </c>
      <c r="G86" s="57"/>
    </row>
    <row r="87" spans="1:7" ht="21">
      <c r="A87" s="86"/>
      <c r="B87" s="59" t="s">
        <v>83</v>
      </c>
      <c r="C87" s="60" t="s">
        <v>1975</v>
      </c>
      <c r="D87" s="63" t="s">
        <v>1328</v>
      </c>
      <c r="E87" s="63" t="s">
        <v>1329</v>
      </c>
      <c r="F87" s="62" t="s">
        <v>1322</v>
      </c>
      <c r="G87" s="57"/>
    </row>
    <row r="88" spans="1:7" ht="63">
      <c r="A88" s="86"/>
      <c r="B88" s="59" t="s">
        <v>83</v>
      </c>
      <c r="C88" s="60" t="s">
        <v>1645</v>
      </c>
      <c r="D88" s="63" t="s">
        <v>1976</v>
      </c>
      <c r="E88" s="63" t="s">
        <v>2112</v>
      </c>
      <c r="F88" s="61" t="s">
        <v>1323</v>
      </c>
      <c r="G88" s="57"/>
    </row>
    <row r="89" spans="1:7" ht="21">
      <c r="A89" s="86"/>
      <c r="B89" s="59" t="s">
        <v>83</v>
      </c>
      <c r="C89" s="60" t="s">
        <v>1898</v>
      </c>
      <c r="D89" s="63" t="s">
        <v>1977</v>
      </c>
      <c r="E89" s="63" t="s">
        <v>2113</v>
      </c>
      <c r="F89" s="62" t="s">
        <v>1324</v>
      </c>
      <c r="G89" s="57"/>
    </row>
    <row r="90" spans="1:7" ht="21">
      <c r="A90" s="86"/>
      <c r="B90" s="59" t="s">
        <v>83</v>
      </c>
      <c r="C90" s="60" t="s">
        <v>1648</v>
      </c>
      <c r="D90" s="63" t="s">
        <v>1330</v>
      </c>
      <c r="E90" s="63" t="s">
        <v>1331</v>
      </c>
      <c r="F90" s="61" t="s">
        <v>1325</v>
      </c>
      <c r="G90" s="57"/>
    </row>
    <row r="91" spans="1:7" ht="21">
      <c r="A91" s="86"/>
      <c r="B91" s="59" t="s">
        <v>83</v>
      </c>
      <c r="C91" s="60" t="s">
        <v>1648</v>
      </c>
      <c r="D91" s="61" t="s">
        <v>1978</v>
      </c>
      <c r="E91" s="63" t="s">
        <v>2114</v>
      </c>
      <c r="F91" s="62" t="str">
        <f ca="1">IFERROR(__xludf.DUMMYFUNCTION("GOOGLETRANSLATE(E67, ""ja"",""en"")"),"positive")</f>
        <v>positive</v>
      </c>
      <c r="G91" s="57"/>
    </row>
    <row r="92" spans="1:7" ht="21">
      <c r="A92" s="86"/>
      <c r="B92" s="59" t="s">
        <v>83</v>
      </c>
      <c r="C92" s="60" t="s">
        <v>1901</v>
      </c>
      <c r="D92" s="63" t="s">
        <v>1979</v>
      </c>
      <c r="E92" s="63" t="s">
        <v>2115</v>
      </c>
      <c r="F92" s="62" t="str">
        <f ca="1">IFERROR(__xludf.DUMMYFUNCTION("GOOGLETRANSLATE(E505, ""ja"",""en"")"),"on the other hand")</f>
        <v>on the other hand</v>
      </c>
      <c r="G92" s="57"/>
    </row>
    <row r="93" spans="1:7" ht="21">
      <c r="A93" s="86"/>
      <c r="B93" s="59" t="s">
        <v>83</v>
      </c>
      <c r="C93" s="60" t="s">
        <v>1655</v>
      </c>
      <c r="D93" s="63" t="s">
        <v>1326</v>
      </c>
      <c r="E93" s="63" t="s">
        <v>1327</v>
      </c>
      <c r="F93" s="62" t="s">
        <v>1332</v>
      </c>
      <c r="G93" s="57"/>
    </row>
    <row r="94" spans="1:7" ht="21">
      <c r="A94" s="86"/>
      <c r="B94" s="59" t="s">
        <v>83</v>
      </c>
      <c r="C94" s="60" t="s">
        <v>1981</v>
      </c>
      <c r="D94" s="63" t="s">
        <v>1982</v>
      </c>
      <c r="E94" s="63" t="s">
        <v>2116</v>
      </c>
      <c r="F94" s="62" t="str">
        <f ca="1">IFERROR(__xludf.DUMMYFUNCTION("GOOGLETRANSLATE(E69, ""ja"",""en"")"),"to produce")</f>
        <v>to produce</v>
      </c>
      <c r="G94" s="57"/>
    </row>
    <row r="95" spans="1:7" ht="21">
      <c r="A95" s="86"/>
      <c r="B95" s="59" t="s">
        <v>83</v>
      </c>
      <c r="C95" s="60" t="s">
        <v>1904</v>
      </c>
      <c r="D95" s="63" t="s">
        <v>1983</v>
      </c>
      <c r="E95" s="63" t="s">
        <v>2117</v>
      </c>
      <c r="F95" s="62" t="str">
        <f ca="1">IFERROR(__xludf.DUMMYFUNCTION("GOOGLETRANSLATE(E748, ""ja"",""en"")"),"recent years")</f>
        <v>recent years</v>
      </c>
      <c r="G95" s="57"/>
    </row>
    <row r="96" spans="1:7" ht="21">
      <c r="A96" s="86"/>
      <c r="B96" s="59" t="s">
        <v>83</v>
      </c>
      <c r="C96" s="60" t="s">
        <v>1658</v>
      </c>
      <c r="D96" s="61" t="s">
        <v>1984</v>
      </c>
      <c r="E96" s="61" t="s">
        <v>2118</v>
      </c>
      <c r="F96" s="61" t="s">
        <v>1333</v>
      </c>
      <c r="G96" s="57"/>
    </row>
    <row r="97" spans="1:10" ht="21">
      <c r="A97" s="86"/>
      <c r="B97" s="59" t="s">
        <v>83</v>
      </c>
      <c r="C97" s="60" t="s">
        <v>1658</v>
      </c>
      <c r="D97" s="63" t="s">
        <v>1985</v>
      </c>
      <c r="E97" s="63" t="s">
        <v>2119</v>
      </c>
      <c r="F97" s="62" t="s">
        <v>1334</v>
      </c>
      <c r="G97" s="56"/>
    </row>
    <row r="98" spans="1:10" ht="21">
      <c r="A98" s="86"/>
      <c r="B98" s="59" t="s">
        <v>83</v>
      </c>
      <c r="C98" s="60" t="s">
        <v>1658</v>
      </c>
      <c r="D98" s="63" t="s">
        <v>1986</v>
      </c>
      <c r="E98" s="63" t="s">
        <v>2120</v>
      </c>
      <c r="F98" s="62" t="s">
        <v>3666</v>
      </c>
      <c r="G98" s="57"/>
    </row>
    <row r="99" spans="1:10" ht="21">
      <c r="A99" s="86"/>
      <c r="B99" s="59" t="s">
        <v>83</v>
      </c>
      <c r="C99" s="60" t="s">
        <v>1658</v>
      </c>
      <c r="D99" s="63" t="s">
        <v>1987</v>
      </c>
      <c r="E99" s="63" t="s">
        <v>2121</v>
      </c>
      <c r="F99" s="62" t="s">
        <v>1988</v>
      </c>
      <c r="G99" s="57"/>
    </row>
    <row r="100" spans="1:10" ht="21">
      <c r="A100" s="86"/>
      <c r="B100" s="59" t="s">
        <v>83</v>
      </c>
      <c r="C100" s="60" t="s">
        <v>1906</v>
      </c>
      <c r="D100" s="63" t="s">
        <v>1335</v>
      </c>
      <c r="E100" s="63" t="s">
        <v>1336</v>
      </c>
      <c r="F100" s="62" t="s">
        <v>1989</v>
      </c>
      <c r="G100" s="57"/>
    </row>
    <row r="101" spans="1:10" ht="21">
      <c r="A101" s="86"/>
      <c r="B101" s="59" t="s">
        <v>83</v>
      </c>
      <c r="C101" s="60" t="s">
        <v>1717</v>
      </c>
      <c r="D101" s="63" t="s">
        <v>1990</v>
      </c>
      <c r="E101" s="63" t="s">
        <v>2122</v>
      </c>
      <c r="F101" s="62" t="s">
        <v>1337</v>
      </c>
      <c r="G101" s="57"/>
    </row>
    <row r="102" spans="1:10" ht="21">
      <c r="A102" s="86"/>
      <c r="B102" s="59" t="s">
        <v>83</v>
      </c>
      <c r="C102" s="60" t="s">
        <v>1717</v>
      </c>
      <c r="D102" s="63" t="s">
        <v>1991</v>
      </c>
      <c r="E102" s="63" t="s">
        <v>2123</v>
      </c>
      <c r="F102" s="62" t="str">
        <f ca="1">IFERROR(__xludf.DUMMYFUNCTION("GOOGLETRANSLATE(E181, ""ja"",""en"")"),"still")</f>
        <v>still</v>
      </c>
      <c r="G102" s="57"/>
    </row>
    <row r="103" spans="1:10" ht="21">
      <c r="A103" s="86"/>
      <c r="B103" s="59" t="s">
        <v>83</v>
      </c>
      <c r="C103" s="60" t="s">
        <v>1717</v>
      </c>
      <c r="D103" s="63" t="s">
        <v>1992</v>
      </c>
      <c r="E103" s="63" t="s">
        <v>2124</v>
      </c>
      <c r="F103" s="62" t="s">
        <v>1340</v>
      </c>
      <c r="G103" s="57"/>
    </row>
    <row r="104" spans="1:10" ht="21">
      <c r="A104" s="86"/>
      <c r="B104" s="59" t="s">
        <v>83</v>
      </c>
      <c r="C104" s="60" t="s">
        <v>1717</v>
      </c>
      <c r="D104" s="63" t="s">
        <v>1993</v>
      </c>
      <c r="E104" s="63" t="s">
        <v>2125</v>
      </c>
      <c r="F104" s="62" t="str">
        <f ca="1">IFERROR(__xludf.DUMMYFUNCTION("GOOGLETRANSLATE(E128, ""ja"",""en"")"),"housewife")</f>
        <v>housewife</v>
      </c>
      <c r="G104" s="57"/>
    </row>
    <row r="105" spans="1:10" ht="21">
      <c r="A105" s="86"/>
      <c r="B105" s="59" t="s">
        <v>83</v>
      </c>
      <c r="C105" s="60" t="s">
        <v>1717</v>
      </c>
      <c r="D105" s="63" t="s">
        <v>1994</v>
      </c>
      <c r="E105" s="63" t="s">
        <v>2126</v>
      </c>
      <c r="F105" s="62" t="s">
        <v>3679</v>
      </c>
      <c r="G105" s="56"/>
      <c r="J105" s="2" t="s">
        <v>1995</v>
      </c>
    </row>
    <row r="106" spans="1:10" ht="21">
      <c r="A106" s="86"/>
      <c r="B106" s="59" t="s">
        <v>83</v>
      </c>
      <c r="C106" s="60" t="s">
        <v>1908</v>
      </c>
      <c r="D106" s="63" t="s">
        <v>1338</v>
      </c>
      <c r="E106" s="63" t="s">
        <v>1339</v>
      </c>
      <c r="F106" s="61" t="s">
        <v>1341</v>
      </c>
      <c r="G106" s="57"/>
    </row>
    <row r="107" spans="1:10" ht="21">
      <c r="A107" s="86"/>
      <c r="B107" s="59" t="s">
        <v>83</v>
      </c>
      <c r="C107" s="60" t="s">
        <v>1661</v>
      </c>
      <c r="D107" s="61" t="s">
        <v>1996</v>
      </c>
      <c r="E107" s="61" t="s">
        <v>2127</v>
      </c>
      <c r="F107" s="62" t="s">
        <v>3680</v>
      </c>
      <c r="G107" s="56"/>
    </row>
    <row r="108" spans="1:10" ht="21">
      <c r="A108" s="86"/>
      <c r="B108" s="59" t="s">
        <v>83</v>
      </c>
      <c r="C108" s="60" t="s">
        <v>1663</v>
      </c>
      <c r="D108" s="63" t="s">
        <v>1997</v>
      </c>
      <c r="E108" s="63" t="s">
        <v>2128</v>
      </c>
      <c r="F108" s="62" t="str">
        <f ca="1">IFERROR(__xludf.DUMMYFUNCTION("GOOGLETRANSLATE(E132, ""ja"",""en"")"),"pain")</f>
        <v>pain</v>
      </c>
      <c r="G108" s="57"/>
    </row>
    <row r="109" spans="1:10" ht="21">
      <c r="A109" s="86"/>
      <c r="B109" s="59" t="s">
        <v>83</v>
      </c>
      <c r="C109" s="60" t="s">
        <v>1663</v>
      </c>
      <c r="D109" s="63" t="s">
        <v>1998</v>
      </c>
      <c r="E109" s="63" t="s">
        <v>2129</v>
      </c>
      <c r="F109" s="62" t="s">
        <v>1011</v>
      </c>
      <c r="G109" s="57"/>
    </row>
    <row r="110" spans="1:10" ht="21">
      <c r="A110" s="86"/>
      <c r="B110" s="59" t="s">
        <v>83</v>
      </c>
      <c r="C110" s="60" t="s">
        <v>1663</v>
      </c>
      <c r="D110" s="61" t="s">
        <v>1999</v>
      </c>
      <c r="E110" s="61" t="s">
        <v>2130</v>
      </c>
      <c r="F110" s="62" t="s">
        <v>3681</v>
      </c>
      <c r="G110" s="57"/>
    </row>
    <row r="111" spans="1:10" ht="21">
      <c r="A111" s="86"/>
      <c r="B111" s="59" t="s">
        <v>83</v>
      </c>
      <c r="C111" s="60" t="s">
        <v>1663</v>
      </c>
      <c r="D111" s="63" t="s">
        <v>2000</v>
      </c>
      <c r="E111" s="63" t="s">
        <v>2131</v>
      </c>
      <c r="F111" s="62" t="s">
        <v>1342</v>
      </c>
      <c r="G111" s="57"/>
    </row>
    <row r="112" spans="1:10" ht="21">
      <c r="A112" s="86"/>
      <c r="B112" s="59" t="s">
        <v>83</v>
      </c>
      <c r="C112" s="60" t="s">
        <v>2001</v>
      </c>
      <c r="D112" s="63" t="s">
        <v>2002</v>
      </c>
      <c r="E112" s="63" t="s">
        <v>2132</v>
      </c>
      <c r="F112" s="62" t="s">
        <v>1343</v>
      </c>
      <c r="G112" s="57"/>
    </row>
    <row r="113" spans="1:7" ht="21">
      <c r="A113" s="86"/>
      <c r="B113" s="59" t="s">
        <v>83</v>
      </c>
      <c r="C113" s="65" t="s">
        <v>1666</v>
      </c>
      <c r="D113" s="61" t="s">
        <v>2003</v>
      </c>
      <c r="E113" s="61" t="s">
        <v>2133</v>
      </c>
      <c r="F113" s="62" t="s">
        <v>2004</v>
      </c>
      <c r="G113" s="57"/>
    </row>
    <row r="114" spans="1:7" ht="21">
      <c r="A114" s="86"/>
      <c r="B114" s="59" t="s">
        <v>83</v>
      </c>
      <c r="C114" s="60" t="s">
        <v>1666</v>
      </c>
      <c r="D114" s="63" t="s">
        <v>2005</v>
      </c>
      <c r="E114" s="63" t="s">
        <v>2134</v>
      </c>
      <c r="F114" s="62" t="str">
        <f ca="1">IFERROR(__xludf.DUMMYFUNCTION("GOOGLETRANSLATE(E95, ""ja"",""en"")"),"generation")</f>
        <v>generation</v>
      </c>
      <c r="G114" s="57"/>
    </row>
    <row r="115" spans="1:7" ht="21">
      <c r="A115" s="86"/>
      <c r="B115" s="59" t="s">
        <v>83</v>
      </c>
      <c r="C115" s="60" t="s">
        <v>2006</v>
      </c>
      <c r="D115" s="63" t="s">
        <v>2007</v>
      </c>
      <c r="E115" s="63" t="s">
        <v>2135</v>
      </c>
      <c r="F115" s="62" t="s">
        <v>1345</v>
      </c>
      <c r="G115" s="57"/>
    </row>
    <row r="116" spans="1:7" ht="21">
      <c r="A116" s="86"/>
      <c r="B116" s="59" t="s">
        <v>83</v>
      </c>
      <c r="C116" s="60" t="s">
        <v>1671</v>
      </c>
      <c r="D116" s="63" t="s">
        <v>2008</v>
      </c>
      <c r="E116" s="63" t="s">
        <v>2136</v>
      </c>
      <c r="F116" s="62" t="s">
        <v>1344</v>
      </c>
      <c r="G116" s="57"/>
    </row>
    <row r="117" spans="1:7" ht="21">
      <c r="A117" s="86"/>
      <c r="B117" s="59" t="s">
        <v>83</v>
      </c>
      <c r="C117" s="60" t="s">
        <v>1671</v>
      </c>
      <c r="D117" s="63" t="s">
        <v>2009</v>
      </c>
      <c r="E117" s="63" t="s">
        <v>2137</v>
      </c>
      <c r="F117" s="62" t="str">
        <f ca="1">IFERROR(__xludf.DUMMYFUNCTION("GOOGLETRANSLATE(E701, ""ja"",""en"")"),"environment")</f>
        <v>environment</v>
      </c>
      <c r="G117" s="57"/>
    </row>
    <row r="118" spans="1:7" ht="21">
      <c r="A118" s="86"/>
      <c r="B118" s="59" t="s">
        <v>83</v>
      </c>
      <c r="C118" s="60" t="s">
        <v>1671</v>
      </c>
      <c r="D118" s="63" t="s">
        <v>2010</v>
      </c>
      <c r="E118" s="63" t="s">
        <v>2138</v>
      </c>
      <c r="F118" s="62" t="s">
        <v>826</v>
      </c>
      <c r="G118" s="57"/>
    </row>
    <row r="119" spans="1:7" ht="21">
      <c r="A119" s="86"/>
      <c r="B119" s="59" t="s">
        <v>83</v>
      </c>
      <c r="C119" s="60" t="s">
        <v>1671</v>
      </c>
      <c r="D119" s="63" t="s">
        <v>2011</v>
      </c>
      <c r="E119" s="63" t="s">
        <v>2139</v>
      </c>
      <c r="F119" s="62" t="s">
        <v>1346</v>
      </c>
      <c r="G119" s="57"/>
    </row>
    <row r="120" spans="1:7" ht="21">
      <c r="A120" s="86"/>
      <c r="B120" s="59" t="s">
        <v>83</v>
      </c>
      <c r="C120" s="60" t="s">
        <v>1917</v>
      </c>
      <c r="D120" s="63" t="s">
        <v>2012</v>
      </c>
      <c r="E120" s="63" t="s">
        <v>2140</v>
      </c>
      <c r="F120" s="62" t="str">
        <f ca="1">IFERROR(__xludf.DUMMYFUNCTION("GOOGLETRANSLATE(E75, ""ja"",""en"")"),"convenience store")</f>
        <v>convenience store</v>
      </c>
      <c r="G120" s="57"/>
    </row>
    <row r="121" spans="1:7" ht="21">
      <c r="A121" s="86"/>
      <c r="B121" s="59" t="s">
        <v>83</v>
      </c>
      <c r="C121" s="60" t="s">
        <v>1740</v>
      </c>
      <c r="D121" s="61" t="s">
        <v>2013</v>
      </c>
      <c r="E121" s="63" t="s">
        <v>2141</v>
      </c>
      <c r="F121" s="62" t="s">
        <v>1347</v>
      </c>
      <c r="G121" s="56"/>
    </row>
    <row r="122" spans="1:7" ht="21">
      <c r="A122" s="86"/>
      <c r="B122" s="59" t="s">
        <v>83</v>
      </c>
      <c r="C122" s="60" t="s">
        <v>1740</v>
      </c>
      <c r="D122" s="63" t="s">
        <v>2014</v>
      </c>
      <c r="E122" s="63" t="s">
        <v>2142</v>
      </c>
      <c r="F122" s="62" t="str">
        <f ca="1">IFERROR(__xludf.DUMMYFUNCTION("GOOGLETRANSLATE(E526, ""ja"",""en"")"),"side dish")</f>
        <v>side dish</v>
      </c>
      <c r="G122" s="57"/>
    </row>
    <row r="123" spans="1:7" ht="21">
      <c r="A123" s="86"/>
      <c r="B123" s="59" t="s">
        <v>83</v>
      </c>
      <c r="C123" s="60" t="s">
        <v>1740</v>
      </c>
      <c r="D123" s="63" t="s">
        <v>2015</v>
      </c>
      <c r="E123" s="63" t="s">
        <v>2143</v>
      </c>
      <c r="F123" s="62" t="s">
        <v>1348</v>
      </c>
      <c r="G123" s="57"/>
    </row>
    <row r="124" spans="1:7" ht="21">
      <c r="A124" s="86"/>
      <c r="B124" s="59" t="s">
        <v>83</v>
      </c>
      <c r="C124" s="60" t="s">
        <v>1923</v>
      </c>
      <c r="D124" s="61" t="s">
        <v>2016</v>
      </c>
      <c r="E124" s="61" t="s">
        <v>2144</v>
      </c>
      <c r="F124" s="62" t="s">
        <v>1349</v>
      </c>
      <c r="G124" s="56"/>
    </row>
    <row r="125" spans="1:7" ht="21">
      <c r="A125" s="86"/>
      <c r="B125" s="59" t="s">
        <v>83</v>
      </c>
      <c r="C125" s="60" t="s">
        <v>1673</v>
      </c>
      <c r="D125" s="63" t="s">
        <v>2017</v>
      </c>
      <c r="E125" s="63" t="s">
        <v>2145</v>
      </c>
      <c r="F125" s="62" t="s">
        <v>1350</v>
      </c>
      <c r="G125" s="57"/>
    </row>
    <row r="126" spans="1:7" ht="21">
      <c r="A126" s="86"/>
      <c r="B126" s="59" t="s">
        <v>83</v>
      </c>
      <c r="C126" s="60" t="s">
        <v>1673</v>
      </c>
      <c r="D126" s="63" t="s">
        <v>2018</v>
      </c>
      <c r="E126" s="63" t="s">
        <v>1602</v>
      </c>
      <c r="F126" s="62" t="str">
        <f ca="1">IFERROR(__xludf.DUMMYFUNCTION("GOOGLETRANSLATE(E144, ""ja"",""en"")"),"topic")</f>
        <v>topic</v>
      </c>
      <c r="G126" s="57"/>
    </row>
    <row r="127" spans="1:7" ht="21">
      <c r="A127" s="86"/>
      <c r="B127" s="59" t="s">
        <v>83</v>
      </c>
      <c r="C127" s="60" t="s">
        <v>1673</v>
      </c>
      <c r="D127" s="63" t="s">
        <v>2019</v>
      </c>
      <c r="E127" s="63" t="s">
        <v>2146</v>
      </c>
      <c r="F127" s="62" t="str">
        <f ca="1">IFERROR(__xludf.DUMMYFUNCTION("GOOGLETRANSLATE(E145, ""ja"",""en"")"),"in the end")</f>
        <v>in the end</v>
      </c>
      <c r="G127" s="57"/>
    </row>
    <row r="128" spans="1:7" ht="21">
      <c r="A128" s="86"/>
      <c r="B128" s="59" t="s">
        <v>83</v>
      </c>
      <c r="C128" s="60" t="s">
        <v>1673</v>
      </c>
      <c r="D128" s="63" t="s">
        <v>2020</v>
      </c>
      <c r="E128" s="63" t="s">
        <v>2147</v>
      </c>
      <c r="F128" s="62" t="str">
        <f ca="1">IFERROR(__xludf.DUMMYFUNCTION("GOOGLETRANSLATE(E735, ""ja"",""en"")"),"target")</f>
        <v>target</v>
      </c>
      <c r="G128" s="57"/>
    </row>
    <row r="129" spans="1:7" ht="21">
      <c r="A129" s="86"/>
      <c r="B129" s="59" t="s">
        <v>83</v>
      </c>
      <c r="C129" s="65" t="s">
        <v>1673</v>
      </c>
      <c r="D129" s="61" t="s">
        <v>2021</v>
      </c>
      <c r="E129" s="61" t="s">
        <v>2148</v>
      </c>
      <c r="F129" s="62" t="s">
        <v>1351</v>
      </c>
      <c r="G129" s="57"/>
    </row>
    <row r="130" spans="1:7" ht="21">
      <c r="A130" s="86"/>
      <c r="B130" s="59" t="s">
        <v>83</v>
      </c>
      <c r="C130" s="60" t="s">
        <v>1673</v>
      </c>
      <c r="D130" s="63" t="s">
        <v>1138</v>
      </c>
      <c r="E130" s="63" t="s">
        <v>1139</v>
      </c>
      <c r="F130" s="62" t="s">
        <v>1352</v>
      </c>
      <c r="G130" s="57"/>
    </row>
    <row r="131" spans="1:7" ht="21">
      <c r="A131" s="86"/>
      <c r="B131" s="59" t="s">
        <v>83</v>
      </c>
      <c r="C131" s="65" t="s">
        <v>1675</v>
      </c>
      <c r="D131" s="61" t="s">
        <v>2022</v>
      </c>
      <c r="E131" s="61" t="s">
        <v>2149</v>
      </c>
      <c r="F131" s="62" t="s">
        <v>1309</v>
      </c>
      <c r="G131" s="57"/>
    </row>
    <row r="132" spans="1:7" ht="21">
      <c r="A132" s="86"/>
      <c r="B132" s="59" t="s">
        <v>83</v>
      </c>
      <c r="C132" s="60" t="s">
        <v>1925</v>
      </c>
      <c r="D132" s="63" t="s">
        <v>2023</v>
      </c>
      <c r="E132" s="63" t="s">
        <v>2150</v>
      </c>
      <c r="F132" s="62" t="s">
        <v>1353</v>
      </c>
      <c r="G132" s="56"/>
    </row>
    <row r="133" spans="1:7" ht="21">
      <c r="A133" s="86"/>
      <c r="B133" s="59" t="s">
        <v>83</v>
      </c>
      <c r="C133" s="60" t="s">
        <v>1675</v>
      </c>
      <c r="D133" s="63" t="s">
        <v>1354</v>
      </c>
      <c r="E133" s="63" t="s">
        <v>1355</v>
      </c>
      <c r="F133" s="61" t="s">
        <v>785</v>
      </c>
      <c r="G133" s="57"/>
    </row>
    <row r="134" spans="1:7" ht="21">
      <c r="A134" s="86"/>
      <c r="B134" s="59" t="s">
        <v>83</v>
      </c>
      <c r="C134" s="60" t="s">
        <v>2024</v>
      </c>
      <c r="D134" s="63" t="s">
        <v>2025</v>
      </c>
      <c r="E134" s="63" t="s">
        <v>2151</v>
      </c>
      <c r="F134" s="62" t="str">
        <f ca="1">IFERROR(__xludf.DUMMYFUNCTION("GOOGLETRANSLATE(E80, ""ja"",""en"")"),"warm")</f>
        <v>warm</v>
      </c>
      <c r="G134" s="57"/>
    </row>
    <row r="135" spans="1:7" ht="21">
      <c r="A135" s="86"/>
      <c r="B135" s="59" t="s">
        <v>83</v>
      </c>
      <c r="C135" s="60" t="s">
        <v>1754</v>
      </c>
      <c r="D135" s="63" t="s">
        <v>1357</v>
      </c>
      <c r="E135" s="63" t="s">
        <v>1356</v>
      </c>
      <c r="F135" s="61" t="s">
        <v>1358</v>
      </c>
      <c r="G135" s="57"/>
    </row>
    <row r="136" spans="1:7" ht="21">
      <c r="A136" s="86"/>
      <c r="B136" s="59" t="s">
        <v>83</v>
      </c>
      <c r="C136" s="60" t="s">
        <v>1754</v>
      </c>
      <c r="D136" s="61" t="s">
        <v>2026</v>
      </c>
      <c r="E136" s="61" t="s">
        <v>2152</v>
      </c>
      <c r="F136" s="62" t="s">
        <v>3682</v>
      </c>
      <c r="G136" s="56"/>
    </row>
    <row r="137" spans="1:7" ht="21">
      <c r="A137" s="86"/>
      <c r="B137" s="59" t="s">
        <v>83</v>
      </c>
      <c r="C137" s="60" t="s">
        <v>1754</v>
      </c>
      <c r="D137" s="63" t="s">
        <v>2027</v>
      </c>
      <c r="E137" s="63" t="s">
        <v>2153</v>
      </c>
      <c r="F137" s="62" t="str">
        <f ca="1">IFERROR(__xludf.DUMMYFUNCTION("GOOGLETRANSLATE(E152, ""ja"",""en"")"),"to develop")</f>
        <v>to develop</v>
      </c>
      <c r="G137" s="57"/>
    </row>
    <row r="138" spans="1:7" ht="21">
      <c r="A138" s="86"/>
      <c r="B138" s="59" t="s">
        <v>83</v>
      </c>
      <c r="C138" s="60" t="s">
        <v>1754</v>
      </c>
      <c r="D138" s="63" t="s">
        <v>2029</v>
      </c>
      <c r="E138" s="63" t="s">
        <v>2154</v>
      </c>
      <c r="F138" s="62" t="str">
        <f ca="1">IFERROR(__xludf.DUMMYFUNCTION("GOOGLETRANSLATE(E153, ""ja"",""en"")"),"at least")</f>
        <v>at least</v>
      </c>
      <c r="G138" s="57"/>
    </row>
    <row r="139" spans="1:7" ht="21">
      <c r="A139" s="86"/>
      <c r="B139" s="59" t="s">
        <v>83</v>
      </c>
      <c r="C139" s="60" t="s">
        <v>1754</v>
      </c>
      <c r="D139" s="63" t="s">
        <v>2030</v>
      </c>
      <c r="E139" s="63" t="s">
        <v>3490</v>
      </c>
      <c r="F139" s="62" t="str">
        <f ca="1">IFERROR(__xludf.DUMMYFUNCTION("GOOGLETRANSLATE(E154, ""ja"",""en"")"),"event")</f>
        <v>event</v>
      </c>
      <c r="G139" s="57"/>
    </row>
    <row r="140" spans="1:7" ht="21">
      <c r="A140" s="86"/>
      <c r="B140" s="59" t="s">
        <v>83</v>
      </c>
      <c r="C140" s="60" t="s">
        <v>2031</v>
      </c>
      <c r="D140" s="63" t="s">
        <v>2032</v>
      </c>
      <c r="E140" s="63" t="s">
        <v>2155</v>
      </c>
      <c r="F140" s="62" t="str">
        <f ca="1">IFERROR(__xludf.DUMMYFUNCTION("GOOGLETRANSLATE(E155, ""ja"",""en"")"),"equality")</f>
        <v>equality</v>
      </c>
      <c r="G140" s="57"/>
    </row>
    <row r="141" spans="1:7" ht="21">
      <c r="A141" s="86"/>
      <c r="B141" s="59" t="s">
        <v>83</v>
      </c>
      <c r="C141" s="60" t="s">
        <v>1761</v>
      </c>
      <c r="D141" s="61" t="s">
        <v>2033</v>
      </c>
      <c r="E141" s="61" t="s">
        <v>2156</v>
      </c>
      <c r="F141" s="62" t="s">
        <v>1359</v>
      </c>
      <c r="G141" s="56"/>
    </row>
    <row r="142" spans="1:7" ht="21">
      <c r="A142" s="86"/>
      <c r="B142" s="59" t="s">
        <v>83</v>
      </c>
      <c r="C142" s="60" t="s">
        <v>1761</v>
      </c>
      <c r="D142" s="63" t="s">
        <v>2034</v>
      </c>
      <c r="E142" s="63" t="s">
        <v>2157</v>
      </c>
      <c r="F142" s="62" t="str">
        <f ca="1">IFERROR(__xludf.DUMMYFUNCTION("GOOGLETRANSLATE(E156, ""ja"",""en"")"),"effect")</f>
        <v>effect</v>
      </c>
      <c r="G142" s="57"/>
    </row>
    <row r="143" spans="1:7" ht="21">
      <c r="A143" s="86"/>
      <c r="B143" s="59" t="s">
        <v>83</v>
      </c>
      <c r="C143" s="60" t="s">
        <v>1761</v>
      </c>
      <c r="D143" s="63" t="s">
        <v>2035</v>
      </c>
      <c r="E143" s="63" t="s">
        <v>2158</v>
      </c>
      <c r="F143" s="62" t="s">
        <v>1360</v>
      </c>
      <c r="G143" s="57"/>
    </row>
    <row r="144" spans="1:7" ht="21">
      <c r="A144" s="86"/>
      <c r="B144" s="59" t="s">
        <v>83</v>
      </c>
      <c r="C144" s="60" t="s">
        <v>1761</v>
      </c>
      <c r="D144" s="63" t="s">
        <v>2036</v>
      </c>
      <c r="E144" s="63" t="s">
        <v>2159</v>
      </c>
      <c r="F144" s="62" t="str">
        <f ca="1">IFERROR(__xludf.DUMMYFUNCTION("GOOGLETRANSLATE(E157, ""ja"",""en"")"),"fact")</f>
        <v>fact</v>
      </c>
      <c r="G144" s="57"/>
    </row>
    <row r="145" spans="1:7" ht="21">
      <c r="A145" s="86"/>
      <c r="B145" s="59" t="s">
        <v>83</v>
      </c>
      <c r="C145" s="60" t="s">
        <v>1761</v>
      </c>
      <c r="D145" s="63" t="s">
        <v>2037</v>
      </c>
      <c r="E145" s="63" t="s">
        <v>2160</v>
      </c>
      <c r="F145" s="61" t="s">
        <v>1361</v>
      </c>
      <c r="G145" s="57"/>
    </row>
    <row r="146" spans="1:7" ht="21">
      <c r="A146" s="86"/>
      <c r="B146" s="59" t="s">
        <v>83</v>
      </c>
      <c r="C146" s="60" t="s">
        <v>1761</v>
      </c>
      <c r="D146" s="63" t="s">
        <v>2038</v>
      </c>
      <c r="E146" s="63" t="s">
        <v>1579</v>
      </c>
      <c r="F146" s="62" t="str">
        <f ca="1">IFERROR(__xludf.DUMMYFUNCTION("GOOGLETRANSLATE(E437, ""ja"",""en"")"),"ingredients")</f>
        <v>ingredients</v>
      </c>
      <c r="G146" s="57"/>
    </row>
    <row r="147" spans="1:7" ht="21">
      <c r="A147" s="86"/>
      <c r="B147" s="59" t="s">
        <v>83</v>
      </c>
      <c r="C147" s="60" t="s">
        <v>1761</v>
      </c>
      <c r="D147" s="63" t="s">
        <v>2039</v>
      </c>
      <c r="E147" s="63" t="s">
        <v>2161</v>
      </c>
      <c r="F147" s="61" t="s">
        <v>1362</v>
      </c>
      <c r="G147" s="57"/>
    </row>
    <row r="148" spans="1:7" ht="21">
      <c r="A148" s="86"/>
      <c r="B148" s="59" t="s">
        <v>83</v>
      </c>
      <c r="C148" s="60" t="s">
        <v>1926</v>
      </c>
      <c r="D148" s="63" t="s">
        <v>1363</v>
      </c>
      <c r="E148" s="63" t="s">
        <v>1364</v>
      </c>
      <c r="F148" s="61" t="s">
        <v>901</v>
      </c>
      <c r="G148" s="57"/>
    </row>
    <row r="149" spans="1:7" ht="21">
      <c r="A149" s="86"/>
      <c r="B149" s="59" t="s">
        <v>83</v>
      </c>
      <c r="C149" s="60" t="s">
        <v>1768</v>
      </c>
      <c r="D149" s="61" t="s">
        <v>2040</v>
      </c>
      <c r="E149" s="63" t="s">
        <v>2162</v>
      </c>
      <c r="F149" s="62" t="s">
        <v>1366</v>
      </c>
      <c r="G149" s="56"/>
    </row>
    <row r="150" spans="1:7" ht="21">
      <c r="A150" s="86"/>
      <c r="B150" s="59" t="s">
        <v>83</v>
      </c>
      <c r="C150" s="60" t="s">
        <v>1768</v>
      </c>
      <c r="D150" s="61" t="s">
        <v>2041</v>
      </c>
      <c r="E150" s="61" t="s">
        <v>2163</v>
      </c>
      <c r="F150" s="62" t="str">
        <f ca="1">IFERROR(__xludf.DUMMYFUNCTION("GOOGLETRANSLATE(E84, ""ja"",""en"")"),"short time")</f>
        <v>short time</v>
      </c>
      <c r="G150" s="57"/>
    </row>
    <row r="151" spans="1:7" ht="21">
      <c r="A151" s="86"/>
      <c r="B151" s="59" t="s">
        <v>83</v>
      </c>
      <c r="C151" s="65" t="s">
        <v>1768</v>
      </c>
      <c r="D151" s="61" t="s">
        <v>2042</v>
      </c>
      <c r="E151" s="61" t="s">
        <v>2164</v>
      </c>
      <c r="F151" s="62" t="s">
        <v>1365</v>
      </c>
      <c r="G151" s="57"/>
    </row>
    <row r="152" spans="1:7" ht="21">
      <c r="A152" s="86"/>
      <c r="B152" s="59" t="s">
        <v>83</v>
      </c>
      <c r="C152" s="60" t="s">
        <v>1768</v>
      </c>
      <c r="D152" s="63" t="s">
        <v>2044</v>
      </c>
      <c r="E152" s="63" t="s">
        <v>2165</v>
      </c>
      <c r="F152" s="62" t="str">
        <f ca="1">IFERROR(__xludf.DUMMYFUNCTION("GOOGLETRANSLATE(E104, ""ja"",""en"")"),"concept")</f>
        <v>concept</v>
      </c>
      <c r="G152" s="57"/>
    </row>
    <row r="153" spans="1:7" ht="21">
      <c r="A153" s="86"/>
      <c r="B153" s="59" t="s">
        <v>83</v>
      </c>
      <c r="C153" s="60" t="s">
        <v>2045</v>
      </c>
      <c r="D153" s="63" t="s">
        <v>2046</v>
      </c>
      <c r="E153" s="63" t="s">
        <v>2166</v>
      </c>
      <c r="F153" s="61" t="s">
        <v>1367</v>
      </c>
      <c r="G153" s="57"/>
    </row>
    <row r="154" spans="1:7" ht="21">
      <c r="A154" s="86"/>
      <c r="B154" s="59" t="s">
        <v>83</v>
      </c>
      <c r="C154" s="60" t="s">
        <v>1929</v>
      </c>
      <c r="D154" s="63" t="s">
        <v>2047</v>
      </c>
      <c r="E154" s="63" t="s">
        <v>3491</v>
      </c>
      <c r="F154" s="62" t="str">
        <f ca="1">IFERROR(__xludf.DUMMYFUNCTION("GOOGLETRANSLATE(E85, ""ja"",""en"")"),"gender-free")</f>
        <v>gender-free</v>
      </c>
      <c r="G154" s="57"/>
    </row>
    <row r="155" spans="1:7" ht="21">
      <c r="A155" s="86"/>
      <c r="B155" s="59" t="s">
        <v>83</v>
      </c>
      <c r="C155" s="60" t="s">
        <v>2048</v>
      </c>
      <c r="D155" s="63" t="s">
        <v>2049</v>
      </c>
      <c r="E155" s="63" t="s">
        <v>2167</v>
      </c>
      <c r="F155" s="61" t="s">
        <v>1368</v>
      </c>
      <c r="G155" s="57"/>
    </row>
    <row r="156" spans="1:7" ht="21">
      <c r="A156" s="86"/>
      <c r="B156" s="59" t="s">
        <v>83</v>
      </c>
      <c r="C156" s="60" t="s">
        <v>2048</v>
      </c>
      <c r="D156" s="63" t="s">
        <v>2050</v>
      </c>
      <c r="E156" s="63" t="s">
        <v>2168</v>
      </c>
      <c r="F156" s="61" t="s">
        <v>1369</v>
      </c>
      <c r="G156" s="57"/>
    </row>
    <row r="157" spans="1:7" ht="21">
      <c r="A157" s="86"/>
      <c r="B157" s="59" t="s">
        <v>83</v>
      </c>
      <c r="C157" s="60" t="s">
        <v>670</v>
      </c>
      <c r="D157" s="63" t="s">
        <v>1371</v>
      </c>
      <c r="E157" s="63" t="s">
        <v>1371</v>
      </c>
      <c r="F157" s="61" t="s">
        <v>1370</v>
      </c>
      <c r="G157" s="57"/>
    </row>
    <row r="158" spans="1:7" ht="21">
      <c r="A158" s="86"/>
      <c r="B158" s="59" t="s">
        <v>83</v>
      </c>
      <c r="C158" s="60" t="s">
        <v>670</v>
      </c>
      <c r="D158" s="63" t="s">
        <v>2051</v>
      </c>
      <c r="E158" s="63" t="s">
        <v>2169</v>
      </c>
      <c r="F158" s="61" t="s">
        <v>3683</v>
      </c>
      <c r="G158" s="57"/>
    </row>
    <row r="159" spans="1:7" ht="21">
      <c r="A159" s="86"/>
      <c r="B159" s="59" t="s">
        <v>83</v>
      </c>
      <c r="C159" s="60" t="s">
        <v>670</v>
      </c>
      <c r="D159" s="63" t="s">
        <v>2052</v>
      </c>
      <c r="E159" s="63" t="s">
        <v>2170</v>
      </c>
      <c r="F159" s="61" t="s">
        <v>1372</v>
      </c>
      <c r="G159" s="57"/>
    </row>
    <row r="160" spans="1:7" ht="21">
      <c r="A160" s="86"/>
      <c r="B160" s="59" t="s">
        <v>83</v>
      </c>
      <c r="C160" s="60" t="s">
        <v>670</v>
      </c>
      <c r="D160" s="61" t="s">
        <v>2053</v>
      </c>
      <c r="E160" s="61" t="s">
        <v>2073</v>
      </c>
      <c r="F160" s="61" t="s">
        <v>1373</v>
      </c>
      <c r="G160" s="57"/>
    </row>
  </sheetData>
  <autoFilter ref="A1:J163" xr:uid="{C092F51E-1592-44BA-8213-25F32F89EB5E}"/>
  <mergeCells count="1">
    <mergeCell ref="A2:A160"/>
  </mergeCells>
  <phoneticPr fontId="2"/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35D0E-B5C3-4381-97AA-6FA437313910}">
  <dimension ref="A1:F154"/>
  <sheetViews>
    <sheetView zoomScaleNormal="100" workbookViewId="0">
      <pane ySplit="1" topLeftCell="A130" activePane="bottomLeft" state="frozen"/>
      <selection pane="bottomLeft" sqref="A1:F154"/>
    </sheetView>
  </sheetViews>
  <sheetFormatPr baseColWidth="10" defaultColWidth="11.28515625" defaultRowHeight="20"/>
  <cols>
    <col min="1" max="1" width="7" customWidth="1"/>
    <col min="4" max="4" width="19.28515625" customWidth="1"/>
    <col min="5" max="5" width="18.28515625" customWidth="1"/>
    <col min="6" max="6" width="19.28515625" customWidth="1"/>
  </cols>
  <sheetData>
    <row r="1" spans="1:6" s="10" customFormat="1" ht="17">
      <c r="A1" s="72" t="s">
        <v>0</v>
      </c>
      <c r="B1" s="72" t="s">
        <v>1</v>
      </c>
      <c r="C1" s="73" t="s">
        <v>3747</v>
      </c>
      <c r="D1" s="72" t="s">
        <v>3740</v>
      </c>
      <c r="E1" s="72" t="s">
        <v>3741</v>
      </c>
      <c r="F1" s="72" t="s">
        <v>3742</v>
      </c>
    </row>
    <row r="2" spans="1:6">
      <c r="A2" s="80" t="s">
        <v>2171</v>
      </c>
      <c r="B2" s="31"/>
      <c r="C2" s="32" t="s">
        <v>2172</v>
      </c>
      <c r="D2" s="16" t="s">
        <v>1869</v>
      </c>
      <c r="E2" s="16" t="s">
        <v>2054</v>
      </c>
      <c r="F2" s="25" t="str">
        <f ca="1">IFERROR(__xludf.DUMMYFUNCTION("GOOGLETRANSLATE(E404, ""ja"",""en"")"),"food")</f>
        <v>food</v>
      </c>
    </row>
    <row r="3" spans="1:6">
      <c r="A3" s="81"/>
      <c r="B3" s="31"/>
      <c r="C3" s="32" t="s">
        <v>1611</v>
      </c>
      <c r="D3" s="16" t="s">
        <v>2173</v>
      </c>
      <c r="E3" s="16" t="s">
        <v>2388</v>
      </c>
      <c r="F3" s="20" t="s">
        <v>2174</v>
      </c>
    </row>
    <row r="4" spans="1:6">
      <c r="A4" s="81"/>
      <c r="B4" s="31" t="s">
        <v>2175</v>
      </c>
      <c r="C4" s="32" t="s">
        <v>2176</v>
      </c>
      <c r="D4" s="16" t="s">
        <v>1643</v>
      </c>
      <c r="E4" s="16" t="s">
        <v>1794</v>
      </c>
      <c r="F4" s="25" t="s">
        <v>2177</v>
      </c>
    </row>
    <row r="5" spans="1:6">
      <c r="A5" s="81"/>
      <c r="B5" s="31" t="s">
        <v>2175</v>
      </c>
      <c r="C5" s="32" t="s">
        <v>2176</v>
      </c>
      <c r="D5" s="20" t="s">
        <v>2178</v>
      </c>
      <c r="E5" s="20" t="s">
        <v>2389</v>
      </c>
      <c r="F5" s="25" t="s">
        <v>2179</v>
      </c>
    </row>
    <row r="6" spans="1:6">
      <c r="A6" s="81"/>
      <c r="B6" s="31" t="s">
        <v>2175</v>
      </c>
      <c r="C6" s="32" t="s">
        <v>1872</v>
      </c>
      <c r="D6" s="16" t="s">
        <v>2180</v>
      </c>
      <c r="E6" s="16" t="s">
        <v>2390</v>
      </c>
      <c r="F6" s="25" t="str">
        <f ca="1">IFERROR(__xludf.DUMMYFUNCTION("GOOGLETRANSLATE(E194, ""ja"",""en"")"),"lunch")</f>
        <v>lunch</v>
      </c>
    </row>
    <row r="7" spans="1:6">
      <c r="A7" s="81"/>
      <c r="B7" s="31" t="s">
        <v>8</v>
      </c>
      <c r="C7" s="32" t="s">
        <v>1872</v>
      </c>
      <c r="D7" s="16" t="s">
        <v>2181</v>
      </c>
      <c r="E7" s="16" t="s">
        <v>3481</v>
      </c>
      <c r="F7" s="20" t="s">
        <v>2182</v>
      </c>
    </row>
    <row r="8" spans="1:6">
      <c r="A8" s="81"/>
      <c r="B8" s="31" t="s">
        <v>8</v>
      </c>
      <c r="C8" s="32" t="s">
        <v>1876</v>
      </c>
      <c r="D8" s="16" t="s">
        <v>2183</v>
      </c>
      <c r="E8" s="16" t="s">
        <v>2391</v>
      </c>
      <c r="F8" s="25" t="str">
        <f ca="1">IFERROR(__xludf.DUMMYFUNCTION("GOOGLETRANSLATE(E191, ""ja"",""en"")"),"menu")</f>
        <v>menu</v>
      </c>
    </row>
    <row r="9" spans="1:6" ht="38">
      <c r="A9" s="81"/>
      <c r="B9" s="31" t="s">
        <v>8</v>
      </c>
      <c r="C9" s="32" t="s">
        <v>1621</v>
      </c>
      <c r="D9" s="20" t="s">
        <v>2184</v>
      </c>
      <c r="E9" s="20" t="s">
        <v>2392</v>
      </c>
      <c r="F9" s="25" t="s">
        <v>2185</v>
      </c>
    </row>
    <row r="10" spans="1:6">
      <c r="A10" s="81"/>
      <c r="B10" s="31" t="s">
        <v>8</v>
      </c>
      <c r="C10" s="32" t="s">
        <v>1945</v>
      </c>
      <c r="D10" s="20" t="s">
        <v>2186</v>
      </c>
      <c r="E10" s="16" t="s">
        <v>2393</v>
      </c>
      <c r="F10" s="25" t="str">
        <f ca="1">IFERROR(__xludf.DUMMYFUNCTION("GOOGLETRANSLATE(E192, ""ja"",""en"")"),"udon")</f>
        <v>udon</v>
      </c>
    </row>
    <row r="11" spans="1:6">
      <c r="A11" s="81"/>
      <c r="B11" s="31" t="s">
        <v>8</v>
      </c>
      <c r="C11" s="32" t="s">
        <v>1952</v>
      </c>
      <c r="D11" s="20" t="s">
        <v>2187</v>
      </c>
      <c r="E11" s="20" t="s">
        <v>2394</v>
      </c>
      <c r="F11" s="20" t="s">
        <v>2188</v>
      </c>
    </row>
    <row r="12" spans="1:6">
      <c r="A12" s="81"/>
      <c r="B12" s="31" t="s">
        <v>8</v>
      </c>
      <c r="C12" s="32" t="s">
        <v>1891</v>
      </c>
      <c r="D12" s="16" t="s">
        <v>2189</v>
      </c>
      <c r="E12" s="16" t="s">
        <v>2395</v>
      </c>
      <c r="F12" s="25" t="str">
        <f ca="1">IFERROR(__xludf.DUMMYFUNCTION("GOOGLETRANSLATE(E193, ""ja"",""en"")"),"duty")</f>
        <v>duty</v>
      </c>
    </row>
    <row r="13" spans="1:6">
      <c r="A13" s="81"/>
      <c r="B13" s="31" t="s">
        <v>8</v>
      </c>
      <c r="C13" s="32" t="s">
        <v>1893</v>
      </c>
      <c r="D13" s="16" t="s">
        <v>2190</v>
      </c>
      <c r="E13" s="16" t="s">
        <v>2396</v>
      </c>
      <c r="F13" s="20" t="s">
        <v>2191</v>
      </c>
    </row>
    <row r="14" spans="1:6">
      <c r="A14" s="81"/>
      <c r="B14" s="31" t="s">
        <v>8</v>
      </c>
      <c r="C14" s="32" t="s">
        <v>1638</v>
      </c>
      <c r="D14" s="16" t="s">
        <v>1685</v>
      </c>
      <c r="E14" s="16" t="s">
        <v>3480</v>
      </c>
      <c r="F14" s="25" t="str">
        <f ca="1">IFERROR(__xludf.DUMMYFUNCTION("GOOGLETRANSLATE(E164, ""ja"",""en"")"),"classmate")</f>
        <v>classmate</v>
      </c>
    </row>
    <row r="15" spans="1:6">
      <c r="A15" s="81"/>
      <c r="B15" s="31" t="s">
        <v>8</v>
      </c>
      <c r="C15" s="32" t="s">
        <v>1962</v>
      </c>
      <c r="D15" s="16" t="s">
        <v>2192</v>
      </c>
      <c r="E15" s="16" t="s">
        <v>2397</v>
      </c>
      <c r="F15" s="25" t="str">
        <f ca="1">IFERROR(__xludf.DUMMYFUNCTION("GOOGLETRANSLATE(E199, ""ja"",""en"")"),"distribute")</f>
        <v>distribute</v>
      </c>
    </row>
    <row r="16" spans="1:6">
      <c r="A16" s="81"/>
      <c r="B16" s="31" t="s">
        <v>8</v>
      </c>
      <c r="C16" s="32" t="s">
        <v>1640</v>
      </c>
      <c r="D16" s="16" t="s">
        <v>2193</v>
      </c>
      <c r="E16" s="16" t="s">
        <v>2398</v>
      </c>
      <c r="F16" s="20" t="s">
        <v>3684</v>
      </c>
    </row>
    <row r="17" spans="1:6">
      <c r="A17" s="81"/>
      <c r="B17" s="31" t="s">
        <v>8</v>
      </c>
      <c r="C17" s="32" t="s">
        <v>1640</v>
      </c>
      <c r="D17" s="20" t="s">
        <v>2194</v>
      </c>
      <c r="E17" s="16" t="s">
        <v>2399</v>
      </c>
      <c r="F17" s="25" t="s">
        <v>3685</v>
      </c>
    </row>
    <row r="18" spans="1:6">
      <c r="A18" s="81"/>
      <c r="B18" s="31" t="s">
        <v>8</v>
      </c>
      <c r="C18" s="32" t="s">
        <v>1968</v>
      </c>
      <c r="D18" s="20" t="s">
        <v>2195</v>
      </c>
      <c r="E18" s="20" t="s">
        <v>2400</v>
      </c>
      <c r="F18" s="20" t="s">
        <v>2196</v>
      </c>
    </row>
    <row r="19" spans="1:6">
      <c r="A19" s="81"/>
      <c r="B19" s="31" t="s">
        <v>8</v>
      </c>
      <c r="C19" s="32" t="s">
        <v>1642</v>
      </c>
      <c r="D19" s="20" t="s">
        <v>2197</v>
      </c>
      <c r="E19" s="20" t="s">
        <v>2401</v>
      </c>
      <c r="F19" s="25" t="s">
        <v>2198</v>
      </c>
    </row>
    <row r="20" spans="1:6">
      <c r="A20" s="81"/>
      <c r="B20" s="31" t="s">
        <v>8</v>
      </c>
      <c r="C20" s="32" t="s">
        <v>1642</v>
      </c>
      <c r="D20" s="16" t="s">
        <v>2199</v>
      </c>
      <c r="E20" s="16" t="s">
        <v>2200</v>
      </c>
      <c r="F20" s="25" t="s">
        <v>2201</v>
      </c>
    </row>
    <row r="21" spans="1:6">
      <c r="A21" s="81"/>
      <c r="B21" s="31" t="s">
        <v>8</v>
      </c>
      <c r="C21" s="32" t="s">
        <v>1642</v>
      </c>
      <c r="D21" s="16" t="s">
        <v>2202</v>
      </c>
      <c r="E21" s="16" t="s">
        <v>2402</v>
      </c>
      <c r="F21" s="25" t="s">
        <v>2203</v>
      </c>
    </row>
    <row r="22" spans="1:6">
      <c r="A22" s="81"/>
      <c r="B22" s="31" t="s">
        <v>8</v>
      </c>
      <c r="C22" s="36" t="s">
        <v>1645</v>
      </c>
      <c r="D22" s="20" t="s">
        <v>2204</v>
      </c>
      <c r="E22" s="20" t="s">
        <v>2403</v>
      </c>
      <c r="F22" s="25" t="s">
        <v>3686</v>
      </c>
    </row>
    <row r="23" spans="1:6">
      <c r="A23" s="81"/>
      <c r="B23" s="31" t="s">
        <v>8</v>
      </c>
      <c r="C23" s="32" t="s">
        <v>1645</v>
      </c>
      <c r="D23" s="20" t="s">
        <v>2205</v>
      </c>
      <c r="E23" s="16" t="s">
        <v>2404</v>
      </c>
      <c r="F23" s="20" t="s">
        <v>2206</v>
      </c>
    </row>
    <row r="24" spans="1:6">
      <c r="A24" s="81"/>
      <c r="B24" s="31" t="s">
        <v>8</v>
      </c>
      <c r="C24" s="32" t="s">
        <v>1898</v>
      </c>
      <c r="D24" s="16" t="s">
        <v>2207</v>
      </c>
      <c r="E24" s="16" t="s">
        <v>2405</v>
      </c>
      <c r="F24" s="20" t="s">
        <v>2208</v>
      </c>
    </row>
    <row r="25" spans="1:6">
      <c r="A25" s="81"/>
      <c r="B25" s="31" t="s">
        <v>8</v>
      </c>
      <c r="C25" s="32" t="s">
        <v>1901</v>
      </c>
      <c r="D25" s="20" t="s">
        <v>2209</v>
      </c>
      <c r="E25" s="20" t="s">
        <v>2406</v>
      </c>
      <c r="F25" s="25" t="str">
        <f ca="1">IFERROR(__xludf.DUMMYFUNCTION("GOOGLETRANSLATE(E427, ""ja"",""en"")"),"through")</f>
        <v>through</v>
      </c>
    </row>
    <row r="26" spans="1:6">
      <c r="A26" s="81"/>
      <c r="B26" s="31" t="s">
        <v>8</v>
      </c>
      <c r="C26" s="32" t="s">
        <v>1655</v>
      </c>
      <c r="D26" s="16" t="s">
        <v>2211</v>
      </c>
      <c r="E26" s="16" t="s">
        <v>2407</v>
      </c>
      <c r="F26" s="25" t="str">
        <f ca="1">IFERROR(__xludf.DUMMYFUNCTION("GOOGLETRANSLATE(E201, ""ja"",""en"")"),"learn")</f>
        <v>learn</v>
      </c>
    </row>
    <row r="27" spans="1:6">
      <c r="A27" s="81"/>
      <c r="B27" s="31" t="s">
        <v>8</v>
      </c>
      <c r="C27" s="32" t="s">
        <v>1655</v>
      </c>
      <c r="D27" s="16" t="s">
        <v>2212</v>
      </c>
      <c r="E27" s="16" t="s">
        <v>2408</v>
      </c>
      <c r="F27" s="20" t="s">
        <v>2213</v>
      </c>
    </row>
    <row r="28" spans="1:6">
      <c r="A28" s="81"/>
      <c r="B28" s="31" t="s">
        <v>8</v>
      </c>
      <c r="C28" s="32" t="s">
        <v>1655</v>
      </c>
      <c r="D28" s="16" t="s">
        <v>2214</v>
      </c>
      <c r="E28" s="16" t="s">
        <v>2409</v>
      </c>
      <c r="F28" s="25" t="str">
        <f ca="1">IFERROR(__xludf.DUMMYFUNCTION("GOOGLETRANSLATE(E202, ""ja"",""en"")"),"balance")</f>
        <v>balance</v>
      </c>
    </row>
    <row r="29" spans="1:6">
      <c r="A29" s="81"/>
      <c r="B29" s="31" t="s">
        <v>8</v>
      </c>
      <c r="C29" s="32" t="s">
        <v>1981</v>
      </c>
      <c r="D29" s="20" t="s">
        <v>2215</v>
      </c>
      <c r="E29" s="16" t="s">
        <v>2410</v>
      </c>
      <c r="F29" s="25" t="s">
        <v>2216</v>
      </c>
    </row>
    <row r="30" spans="1:6">
      <c r="A30" s="81"/>
      <c r="B30" s="31" t="s">
        <v>8</v>
      </c>
      <c r="C30" s="32" t="s">
        <v>1904</v>
      </c>
      <c r="D30" s="20" t="s">
        <v>2217</v>
      </c>
      <c r="E30" s="20" t="s">
        <v>2411</v>
      </c>
      <c r="F30" s="20" t="s">
        <v>3687</v>
      </c>
    </row>
    <row r="31" spans="1:6">
      <c r="A31" s="81"/>
      <c r="B31" s="31" t="s">
        <v>8</v>
      </c>
      <c r="C31" s="32" t="s">
        <v>1658</v>
      </c>
      <c r="D31" s="16" t="s">
        <v>2218</v>
      </c>
      <c r="E31" s="16" t="s">
        <v>2412</v>
      </c>
      <c r="F31" s="20" t="s">
        <v>2219</v>
      </c>
    </row>
    <row r="32" spans="1:6">
      <c r="A32" s="81"/>
      <c r="B32" s="31" t="s">
        <v>8</v>
      </c>
      <c r="C32" s="32" t="s">
        <v>1658</v>
      </c>
      <c r="D32" s="20" t="s">
        <v>2220</v>
      </c>
      <c r="E32" s="20" t="s">
        <v>2413</v>
      </c>
      <c r="F32" s="20" t="s">
        <v>2221</v>
      </c>
    </row>
    <row r="33" spans="1:6">
      <c r="A33" s="81"/>
      <c r="B33" s="31" t="s">
        <v>8</v>
      </c>
      <c r="C33" s="32" t="s">
        <v>1658</v>
      </c>
      <c r="D33" s="20" t="s">
        <v>2222</v>
      </c>
      <c r="E33" s="16" t="s">
        <v>2414</v>
      </c>
      <c r="F33" s="20" t="s">
        <v>2223</v>
      </c>
    </row>
    <row r="34" spans="1:6">
      <c r="A34" s="81"/>
      <c r="B34" s="31" t="s">
        <v>8</v>
      </c>
      <c r="C34" s="36" t="s">
        <v>1717</v>
      </c>
      <c r="D34" s="16" t="s">
        <v>2224</v>
      </c>
      <c r="E34" s="16" t="s">
        <v>2415</v>
      </c>
      <c r="F34" s="25" t="s">
        <v>2225</v>
      </c>
    </row>
    <row r="35" spans="1:6">
      <c r="A35" s="81"/>
      <c r="B35" s="31" t="s">
        <v>8</v>
      </c>
      <c r="C35" s="32" t="s">
        <v>1906</v>
      </c>
      <c r="D35" s="16" t="s">
        <v>2226</v>
      </c>
      <c r="E35" s="16" t="s">
        <v>2416</v>
      </c>
      <c r="F35" s="20" t="s">
        <v>2227</v>
      </c>
    </row>
    <row r="36" spans="1:6">
      <c r="A36" s="81"/>
      <c r="B36" s="31" t="s">
        <v>8</v>
      </c>
      <c r="C36" s="32" t="s">
        <v>1717</v>
      </c>
      <c r="D36" s="16" t="s">
        <v>2228</v>
      </c>
      <c r="E36" s="16" t="s">
        <v>2417</v>
      </c>
      <c r="F36" s="25" t="str">
        <f ca="1">IFERROR(__xludf.DUMMYFUNCTION("GOOGLETRANSLATE(E818, ""ja"",""en"")"),"however")</f>
        <v>however</v>
      </c>
    </row>
    <row r="37" spans="1:6">
      <c r="A37" s="81"/>
      <c r="B37" s="31" t="s">
        <v>8</v>
      </c>
      <c r="C37" s="36" t="s">
        <v>1661</v>
      </c>
      <c r="D37" s="20" t="s">
        <v>2229</v>
      </c>
      <c r="E37" s="20" t="s">
        <v>2418</v>
      </c>
      <c r="F37" s="25" t="s">
        <v>2230</v>
      </c>
    </row>
    <row r="38" spans="1:6">
      <c r="A38" s="81"/>
      <c r="B38" s="31" t="s">
        <v>8</v>
      </c>
      <c r="C38" s="32" t="s">
        <v>1661</v>
      </c>
      <c r="D38" s="16" t="s">
        <v>2231</v>
      </c>
      <c r="E38" s="16" t="s">
        <v>2419</v>
      </c>
      <c r="F38" s="25" t="s">
        <v>3688</v>
      </c>
    </row>
    <row r="39" spans="1:6">
      <c r="A39" s="81"/>
      <c r="B39" s="31" t="s">
        <v>8</v>
      </c>
      <c r="C39" s="32" t="s">
        <v>1661</v>
      </c>
      <c r="D39" s="16" t="s">
        <v>2232</v>
      </c>
      <c r="E39" s="16" t="s">
        <v>2420</v>
      </c>
      <c r="F39" s="20" t="s">
        <v>2233</v>
      </c>
    </row>
    <row r="40" spans="1:6">
      <c r="A40" s="81"/>
      <c r="B40" s="31" t="s">
        <v>8</v>
      </c>
      <c r="C40" s="32" t="s">
        <v>1661</v>
      </c>
      <c r="D40" s="16" t="s">
        <v>2234</v>
      </c>
      <c r="E40" s="16" t="s">
        <v>2421</v>
      </c>
      <c r="F40" s="25" t="s">
        <v>2235</v>
      </c>
    </row>
    <row r="41" spans="1:6">
      <c r="A41" s="81"/>
      <c r="B41" s="31" t="s">
        <v>8</v>
      </c>
      <c r="C41" s="32" t="s">
        <v>1909</v>
      </c>
      <c r="D41" s="16" t="s">
        <v>2236</v>
      </c>
      <c r="E41" s="16" t="s">
        <v>2164</v>
      </c>
      <c r="F41" s="25" t="str">
        <f ca="1">IFERROR(__xludf.DUMMYFUNCTION("GOOGLETRANSLATE(E208, ""ja"",""en"")"),"current")</f>
        <v>current</v>
      </c>
    </row>
    <row r="42" spans="1:6">
      <c r="A42" s="81"/>
      <c r="B42" s="31" t="s">
        <v>8</v>
      </c>
      <c r="C42" s="32" t="s">
        <v>1663</v>
      </c>
      <c r="D42" s="16" t="s">
        <v>2237</v>
      </c>
      <c r="E42" s="16" t="s">
        <v>2422</v>
      </c>
      <c r="F42" s="25" t="str">
        <f ca="1">IFERROR(__xludf.DUMMYFUNCTION("GOOGLETRANSLATE(E189, ""ja"",""en"")"),"diversity")</f>
        <v>diversity</v>
      </c>
    </row>
    <row r="43" spans="1:6">
      <c r="A43" s="81"/>
      <c r="B43" s="31" t="s">
        <v>8</v>
      </c>
      <c r="C43" s="32" t="s">
        <v>1663</v>
      </c>
      <c r="D43" s="16" t="s">
        <v>2238</v>
      </c>
      <c r="E43" s="16" t="s">
        <v>2423</v>
      </c>
      <c r="F43" s="25" t="s">
        <v>2239</v>
      </c>
    </row>
    <row r="44" spans="1:6">
      <c r="A44" s="81"/>
      <c r="B44" s="31" t="s">
        <v>8</v>
      </c>
      <c r="C44" s="32" t="s">
        <v>2001</v>
      </c>
      <c r="D44" s="20" t="s">
        <v>2240</v>
      </c>
      <c r="E44" s="16" t="s">
        <v>1568</v>
      </c>
      <c r="F44" s="25" t="s">
        <v>2241</v>
      </c>
    </row>
    <row r="45" spans="1:6">
      <c r="A45" s="81"/>
      <c r="B45" s="31" t="s">
        <v>8</v>
      </c>
      <c r="C45" s="32" t="s">
        <v>1666</v>
      </c>
      <c r="D45" s="16" t="s">
        <v>2242</v>
      </c>
      <c r="E45" s="16" t="s">
        <v>2424</v>
      </c>
      <c r="F45" s="25" t="str">
        <f ca="1">IFERROR(__xludf.DUMMYFUNCTION("GOOGLETRANSLATE(E210, ""ja"",""en"")"),"amount")</f>
        <v>amount</v>
      </c>
    </row>
    <row r="46" spans="1:6">
      <c r="A46" s="81"/>
      <c r="B46" s="31" t="s">
        <v>8</v>
      </c>
      <c r="C46" s="32" t="s">
        <v>1666</v>
      </c>
      <c r="D46" s="16" t="s">
        <v>2243</v>
      </c>
      <c r="E46" s="16" t="s">
        <v>2425</v>
      </c>
      <c r="F46" s="20" t="s">
        <v>2244</v>
      </c>
    </row>
    <row r="47" spans="1:6">
      <c r="A47" s="81"/>
      <c r="B47" s="31" t="s">
        <v>8</v>
      </c>
      <c r="C47" s="36" t="s">
        <v>1671</v>
      </c>
      <c r="D47" s="16" t="s">
        <v>2245</v>
      </c>
      <c r="E47" s="16" t="s">
        <v>2426</v>
      </c>
      <c r="F47" s="25" t="s">
        <v>3247</v>
      </c>
    </row>
    <row r="48" spans="1:6">
      <c r="A48" s="81"/>
      <c r="B48" s="31" t="s">
        <v>8</v>
      </c>
      <c r="C48" s="32" t="s">
        <v>1740</v>
      </c>
      <c r="D48" s="16" t="s">
        <v>2246</v>
      </c>
      <c r="E48" s="16" t="s">
        <v>2427</v>
      </c>
      <c r="F48" s="25" t="str">
        <f ca="1">IFERROR(__xludf.DUMMYFUNCTION("GOOGLETRANSLATE(E178, ""ja"",""en"")"),"dietary education")</f>
        <v>dietary education</v>
      </c>
    </row>
    <row r="49" spans="1:6">
      <c r="A49" s="81"/>
      <c r="B49" s="31" t="s">
        <v>8</v>
      </c>
      <c r="C49" s="32" t="s">
        <v>1740</v>
      </c>
      <c r="D49" s="20" t="s">
        <v>2247</v>
      </c>
      <c r="E49" s="16" t="s">
        <v>2428</v>
      </c>
      <c r="F49" s="25" t="str">
        <f ca="1">IFERROR(__xludf.DUMMYFUNCTION("GOOGLETRANSLATE(E214, ""ja"",""en"")"),"in")</f>
        <v>in</v>
      </c>
    </row>
    <row r="50" spans="1:6">
      <c r="A50" s="81"/>
      <c r="B50" s="31" t="s">
        <v>8</v>
      </c>
      <c r="C50" s="32" t="s">
        <v>1740</v>
      </c>
      <c r="D50" s="20" t="s">
        <v>2248</v>
      </c>
      <c r="E50" s="16" t="s">
        <v>2429</v>
      </c>
      <c r="F50" s="25" t="str">
        <f ca="1">IFERROR(__xludf.DUMMYFUNCTION("GOOGLETRANSLATE(E215, ""ja"",""en"")"),"important")</f>
        <v>important</v>
      </c>
    </row>
    <row r="51" spans="1:6">
      <c r="A51" s="81"/>
      <c r="B51" s="31" t="s">
        <v>8</v>
      </c>
      <c r="C51" s="32" t="s">
        <v>1740</v>
      </c>
      <c r="D51" s="16" t="s">
        <v>2249</v>
      </c>
      <c r="E51" s="16" t="s">
        <v>2430</v>
      </c>
      <c r="F51" s="25" t="str">
        <f ca="1">IFERROR(__xludf.DUMMYFUNCTION("GOOGLETRANSLATE(E216, ""ja"",""en"")"),"position")</f>
        <v>position</v>
      </c>
    </row>
    <row r="52" spans="1:6">
      <c r="A52" s="81"/>
      <c r="B52" s="31" t="s">
        <v>8</v>
      </c>
      <c r="C52" s="32" t="s">
        <v>1923</v>
      </c>
      <c r="D52" s="16" t="s">
        <v>2250</v>
      </c>
      <c r="E52" s="16" t="s">
        <v>2431</v>
      </c>
      <c r="F52" s="25" t="str">
        <f ca="1">IFERROR(__xludf.DUMMYFUNCTION("GOOGLETRANSLATE(E218, ""ja"",""en"")"),"health")</f>
        <v>health</v>
      </c>
    </row>
    <row r="53" spans="1:6">
      <c r="A53" s="81"/>
      <c r="B53" s="31" t="s">
        <v>8</v>
      </c>
      <c r="C53" s="32" t="s">
        <v>1673</v>
      </c>
      <c r="D53" s="16" t="s">
        <v>2251</v>
      </c>
      <c r="E53" s="16" t="s">
        <v>2432</v>
      </c>
      <c r="F53" s="25" t="str">
        <f ca="1">IFERROR(__xludf.DUMMYFUNCTION("GOOGLETRANSLATE(E541, ""ja"",""en"")"),"support")</f>
        <v>support</v>
      </c>
    </row>
    <row r="54" spans="1:6" ht="57">
      <c r="A54" s="81"/>
      <c r="B54" s="31" t="s">
        <v>8</v>
      </c>
      <c r="C54" s="32" t="s">
        <v>1673</v>
      </c>
      <c r="D54" s="16" t="s">
        <v>2252</v>
      </c>
      <c r="E54" s="20" t="s">
        <v>2433</v>
      </c>
      <c r="F54" s="20" t="s">
        <v>2253</v>
      </c>
    </row>
    <row r="55" spans="1:6">
      <c r="A55" s="81"/>
      <c r="B55" s="31" t="s">
        <v>2254</v>
      </c>
      <c r="C55" s="32" t="s">
        <v>2176</v>
      </c>
      <c r="D55" s="16" t="s">
        <v>2255</v>
      </c>
      <c r="E55" s="16" t="s">
        <v>1555</v>
      </c>
      <c r="F55" s="25" t="str">
        <f ca="1">IFERROR(__xludf.DUMMYFUNCTION("GOOGLETRANSLATE(E280, ""ja"",""en"")"),"area")</f>
        <v>area</v>
      </c>
    </row>
    <row r="56" spans="1:6">
      <c r="A56" s="81"/>
      <c r="B56" s="31" t="s">
        <v>2254</v>
      </c>
      <c r="C56" s="32" t="s">
        <v>2176</v>
      </c>
      <c r="D56" s="16" t="s">
        <v>1690</v>
      </c>
      <c r="E56" s="16" t="s">
        <v>1818</v>
      </c>
      <c r="F56" s="25" t="str">
        <f ca="1">IFERROR(__xludf.DUMMYFUNCTION("GOOGLETRANSLATE(E324, ""ja"",""en"")"),"connection")</f>
        <v>connection</v>
      </c>
    </row>
    <row r="57" spans="1:6">
      <c r="A57" s="81"/>
      <c r="B57" s="31" t="s">
        <v>83</v>
      </c>
      <c r="C57" s="32" t="s">
        <v>1872</v>
      </c>
      <c r="D57" s="16" t="s">
        <v>2256</v>
      </c>
      <c r="E57" s="16" t="s">
        <v>2434</v>
      </c>
      <c r="F57" s="20" t="s">
        <v>2257</v>
      </c>
    </row>
    <row r="58" spans="1:6">
      <c r="A58" s="81"/>
      <c r="B58" s="31" t="s">
        <v>83</v>
      </c>
      <c r="C58" s="32" t="s">
        <v>1872</v>
      </c>
      <c r="D58" s="16" t="s">
        <v>2258</v>
      </c>
      <c r="E58" s="16" t="s">
        <v>2435</v>
      </c>
      <c r="F58" s="25" t="s">
        <v>2259</v>
      </c>
    </row>
    <row r="59" spans="1:6">
      <c r="A59" s="81"/>
      <c r="B59" s="31" t="s">
        <v>83</v>
      </c>
      <c r="C59" s="32" t="s">
        <v>1937</v>
      </c>
      <c r="D59" s="16" t="s">
        <v>2260</v>
      </c>
      <c r="E59" s="16" t="s">
        <v>2436</v>
      </c>
      <c r="F59" s="25" t="str">
        <f ca="1">IFERROR(__xludf.DUMMYFUNCTION("GOOGLETRANSLATE(E222, ""ja"",""en"")"),"volunteer")</f>
        <v>volunteer</v>
      </c>
    </row>
    <row r="60" spans="1:6">
      <c r="A60" s="81"/>
      <c r="B60" s="31" t="s">
        <v>83</v>
      </c>
      <c r="C60" s="32" t="s">
        <v>1619</v>
      </c>
      <c r="D60" s="16" t="s">
        <v>2261</v>
      </c>
      <c r="E60" s="16" t="s">
        <v>2437</v>
      </c>
      <c r="F60" s="20" t="s">
        <v>2262</v>
      </c>
    </row>
    <row r="61" spans="1:6">
      <c r="A61" s="81"/>
      <c r="B61" s="31" t="s">
        <v>83</v>
      </c>
      <c r="C61" s="32" t="s">
        <v>1619</v>
      </c>
      <c r="D61" s="16" t="s">
        <v>2263</v>
      </c>
      <c r="E61" s="16" t="s">
        <v>2438</v>
      </c>
      <c r="F61" s="25" t="str">
        <f ca="1">IFERROR(__xludf.DUMMYFUNCTION("GOOGLETRANSLATE(E223, ""ja"",""en"")"),"corporation")</f>
        <v>corporation</v>
      </c>
    </row>
    <row r="62" spans="1:6">
      <c r="A62" s="81"/>
      <c r="B62" s="31" t="s">
        <v>83</v>
      </c>
      <c r="C62" s="32" t="s">
        <v>1876</v>
      </c>
      <c r="D62" s="16" t="s">
        <v>2264</v>
      </c>
      <c r="E62" s="16" t="s">
        <v>2439</v>
      </c>
      <c r="F62" s="25" t="s">
        <v>2265</v>
      </c>
    </row>
    <row r="63" spans="1:6">
      <c r="A63" s="81"/>
      <c r="B63" s="31" t="s">
        <v>83</v>
      </c>
      <c r="C63" s="32" t="s">
        <v>1621</v>
      </c>
      <c r="D63" s="16" t="s">
        <v>2266</v>
      </c>
      <c r="E63" s="16" t="s">
        <v>2440</v>
      </c>
      <c r="F63" s="25" t="str">
        <f ca="1">IFERROR(__xludf.DUMMYFUNCTION("GOOGLETRANSLATE(E224, ""ja"",""en"")"),"inexpensive")</f>
        <v>inexpensive</v>
      </c>
    </row>
    <row r="64" spans="1:6">
      <c r="A64" s="81"/>
      <c r="B64" s="31" t="s">
        <v>83</v>
      </c>
      <c r="C64" s="32" t="s">
        <v>1621</v>
      </c>
      <c r="D64" s="16" t="s">
        <v>2267</v>
      </c>
      <c r="E64" s="16" t="s">
        <v>2441</v>
      </c>
      <c r="F64" s="25" t="str">
        <f ca="1">IFERROR(__xludf.DUMMYFUNCTION("GOOGLETRANSLATE(E282, ""ja"",""en"")"),"nutrition")</f>
        <v>nutrition</v>
      </c>
    </row>
    <row r="65" spans="1:6">
      <c r="A65" s="81"/>
      <c r="B65" s="31" t="s">
        <v>83</v>
      </c>
      <c r="C65" s="32" t="s">
        <v>1621</v>
      </c>
      <c r="D65" s="16" t="s">
        <v>2268</v>
      </c>
      <c r="E65" s="16" t="s">
        <v>2151</v>
      </c>
      <c r="F65" s="20" t="s">
        <v>2269</v>
      </c>
    </row>
    <row r="66" spans="1:6">
      <c r="A66" s="81"/>
      <c r="B66" s="31" t="s">
        <v>83</v>
      </c>
      <c r="C66" s="36" t="s">
        <v>1626</v>
      </c>
      <c r="D66" s="16" t="s">
        <v>2270</v>
      </c>
      <c r="E66" s="16" t="s">
        <v>2442</v>
      </c>
      <c r="F66" s="25" t="s">
        <v>2271</v>
      </c>
    </row>
    <row r="67" spans="1:6">
      <c r="A67" s="81"/>
      <c r="B67" s="31" t="s">
        <v>83</v>
      </c>
      <c r="C67" s="32" t="s">
        <v>1945</v>
      </c>
      <c r="D67" s="16" t="s">
        <v>2272</v>
      </c>
      <c r="E67" s="16" t="s">
        <v>2443</v>
      </c>
      <c r="F67" s="25" t="str">
        <f ca="1">IFERROR(__xludf.DUMMYFUNCTION("GOOGLETRANSLATE(E259, ""ja"",""en"")"),"to provide")</f>
        <v>to provide</v>
      </c>
    </row>
    <row r="68" spans="1:6">
      <c r="A68" s="81"/>
      <c r="B68" s="31" t="s">
        <v>83</v>
      </c>
      <c r="C68" s="32" t="s">
        <v>1626</v>
      </c>
      <c r="D68" s="16" t="s">
        <v>2273</v>
      </c>
      <c r="E68" s="16" t="s">
        <v>3482</v>
      </c>
      <c r="F68" s="25" t="str">
        <f ca="1">IFERROR(__xludf.DUMMYFUNCTION("GOOGLETRANSLATE(E226, ""ja"",""en"")"),"community")</f>
        <v>community</v>
      </c>
    </row>
    <row r="69" spans="1:6">
      <c r="A69" s="81"/>
      <c r="B69" s="31" t="s">
        <v>83</v>
      </c>
      <c r="C69" s="32" t="s">
        <v>1626</v>
      </c>
      <c r="D69" s="16" t="s">
        <v>2274</v>
      </c>
      <c r="E69" s="16" t="s">
        <v>905</v>
      </c>
      <c r="F69" s="25" t="s">
        <v>1441</v>
      </c>
    </row>
    <row r="70" spans="1:6">
      <c r="A70" s="81"/>
      <c r="B70" s="31" t="s">
        <v>83</v>
      </c>
      <c r="C70" s="32" t="s">
        <v>1952</v>
      </c>
      <c r="D70" s="16" t="s">
        <v>2275</v>
      </c>
      <c r="E70" s="16" t="s">
        <v>2444</v>
      </c>
      <c r="F70" s="25" t="str">
        <f ca="1">IFERROR(__xludf.DUMMYFUNCTION("GOOGLETRANSLATE(E228, ""ja"",""en"")"),"Tokyo")</f>
        <v>Tokyo</v>
      </c>
    </row>
    <row r="71" spans="1:6">
      <c r="A71" s="81"/>
      <c r="B71" s="31" t="s">
        <v>83</v>
      </c>
      <c r="C71" s="32" t="s">
        <v>1629</v>
      </c>
      <c r="D71" s="16" t="s">
        <v>2276</v>
      </c>
      <c r="E71" s="16" t="s">
        <v>2445</v>
      </c>
      <c r="F71" s="25" t="str">
        <f ca="1">IFERROR(__xludf.DUMMYFUNCTION("GOOGLETRANSLATE(E283, ""ja"",""en"")"),"whole country")</f>
        <v>whole country</v>
      </c>
    </row>
    <row r="72" spans="1:6">
      <c r="A72" s="81"/>
      <c r="B72" s="31" t="s">
        <v>83</v>
      </c>
      <c r="C72" s="32" t="s">
        <v>1629</v>
      </c>
      <c r="D72" s="20" t="s">
        <v>2277</v>
      </c>
      <c r="E72" s="16" t="s">
        <v>2446</v>
      </c>
      <c r="F72" s="25" t="s">
        <v>3689</v>
      </c>
    </row>
    <row r="73" spans="1:6">
      <c r="A73" s="81"/>
      <c r="B73" s="31" t="s">
        <v>83</v>
      </c>
      <c r="C73" s="32" t="s">
        <v>1891</v>
      </c>
      <c r="D73" s="20" t="s">
        <v>2278</v>
      </c>
      <c r="E73" s="16" t="s">
        <v>2447</v>
      </c>
      <c r="F73" s="25" t="s">
        <v>2279</v>
      </c>
    </row>
    <row r="74" spans="1:6">
      <c r="A74" s="81"/>
      <c r="B74" s="31" t="s">
        <v>83</v>
      </c>
      <c r="C74" s="32" t="s">
        <v>1633</v>
      </c>
      <c r="D74" s="16" t="s">
        <v>2280</v>
      </c>
      <c r="E74" s="16" t="s">
        <v>2448</v>
      </c>
      <c r="F74" s="25" t="s">
        <v>2281</v>
      </c>
    </row>
    <row r="75" spans="1:6">
      <c r="A75" s="81"/>
      <c r="B75" s="31" t="s">
        <v>83</v>
      </c>
      <c r="C75" s="32" t="s">
        <v>1893</v>
      </c>
      <c r="D75" s="16" t="s">
        <v>2282</v>
      </c>
      <c r="E75" s="16" t="s">
        <v>2449</v>
      </c>
      <c r="F75" s="25" t="s">
        <v>2283</v>
      </c>
    </row>
    <row r="76" spans="1:6">
      <c r="A76" s="81"/>
      <c r="B76" s="31" t="s">
        <v>83</v>
      </c>
      <c r="C76" s="32" t="s">
        <v>1638</v>
      </c>
      <c r="D76" s="20" t="s">
        <v>2284</v>
      </c>
      <c r="E76" s="16" t="s">
        <v>2450</v>
      </c>
      <c r="F76" s="25" t="s">
        <v>3690</v>
      </c>
    </row>
    <row r="77" spans="1:6" ht="38">
      <c r="A77" s="81"/>
      <c r="B77" s="31" t="s">
        <v>83</v>
      </c>
      <c r="C77" s="32" t="s">
        <v>1638</v>
      </c>
      <c r="D77" s="20" t="s">
        <v>2285</v>
      </c>
      <c r="E77" s="16" t="s">
        <v>2451</v>
      </c>
      <c r="F77" s="25" t="s">
        <v>2286</v>
      </c>
    </row>
    <row r="78" spans="1:6">
      <c r="A78" s="81"/>
      <c r="B78" s="31" t="s">
        <v>83</v>
      </c>
      <c r="C78" s="32" t="s">
        <v>1638</v>
      </c>
      <c r="D78" s="16" t="s">
        <v>2287</v>
      </c>
      <c r="E78" s="16" t="s">
        <v>3483</v>
      </c>
      <c r="F78" s="20" t="s">
        <v>2288</v>
      </c>
    </row>
    <row r="79" spans="1:6">
      <c r="A79" s="81"/>
      <c r="B79" s="31" t="s">
        <v>83</v>
      </c>
      <c r="C79" s="32" t="s">
        <v>1962</v>
      </c>
      <c r="D79" s="16" t="s">
        <v>2289</v>
      </c>
      <c r="E79" s="16" t="s">
        <v>2452</v>
      </c>
      <c r="F79" s="25" t="str">
        <f ca="1">IFERROR(__xludf.DUMMYFUNCTION("GOOGLETRANSLATE(E262, ""ja"",""en"")"),"recession")</f>
        <v>recession</v>
      </c>
    </row>
    <row r="80" spans="1:6">
      <c r="A80" s="81"/>
      <c r="B80" s="31" t="s">
        <v>83</v>
      </c>
      <c r="C80" s="32" t="s">
        <v>1640</v>
      </c>
      <c r="D80" s="16" t="s">
        <v>2290</v>
      </c>
      <c r="E80" s="16" t="s">
        <v>2453</v>
      </c>
      <c r="F80" s="25" t="str">
        <f ca="1">IFERROR(__xludf.DUMMYFUNCTION("GOOGLETRANSLATE(E288, ""ja"",""en"")"),"to add")</f>
        <v>to add</v>
      </c>
    </row>
    <row r="81" spans="1:6">
      <c r="A81" s="81"/>
      <c r="B81" s="31" t="s">
        <v>83</v>
      </c>
      <c r="C81" s="32" t="s">
        <v>1640</v>
      </c>
      <c r="D81" s="20" t="s">
        <v>2291</v>
      </c>
      <c r="E81" s="20" t="s">
        <v>2454</v>
      </c>
      <c r="F81" s="25" t="s">
        <v>2292</v>
      </c>
    </row>
    <row r="82" spans="1:6">
      <c r="A82" s="81"/>
      <c r="B82" s="31" t="s">
        <v>83</v>
      </c>
      <c r="C82" s="32" t="s">
        <v>1640</v>
      </c>
      <c r="D82" s="20" t="s">
        <v>2293</v>
      </c>
      <c r="E82" s="20" t="s">
        <v>2455</v>
      </c>
      <c r="F82" s="25" t="s">
        <v>3691</v>
      </c>
    </row>
    <row r="83" spans="1:6">
      <c r="A83" s="81"/>
      <c r="B83" s="31" t="s">
        <v>83</v>
      </c>
      <c r="C83" s="32" t="s">
        <v>1640</v>
      </c>
      <c r="D83" s="16" t="s">
        <v>1983</v>
      </c>
      <c r="E83" s="16" t="s">
        <v>2117</v>
      </c>
      <c r="F83" s="25" t="str">
        <f ca="1">IFERROR(__xludf.DUMMYFUNCTION("GOOGLETRANSLATE(E70, ""ja"",""en"")"),"recent years")</f>
        <v>recent years</v>
      </c>
    </row>
    <row r="84" spans="1:6">
      <c r="A84" s="81"/>
      <c r="B84" s="31" t="s">
        <v>83</v>
      </c>
      <c r="C84" s="32" t="s">
        <v>1640</v>
      </c>
      <c r="D84" s="16" t="s">
        <v>2294</v>
      </c>
      <c r="E84" s="16" t="s">
        <v>2456</v>
      </c>
      <c r="F84" s="25" t="str">
        <f ca="1">IFERROR(__xludf.DUMMYFUNCTION("GOOGLETRANSLATE(E236, ""ja"",""en"")"),"unstable")</f>
        <v>unstable</v>
      </c>
    </row>
    <row r="85" spans="1:6">
      <c r="A85" s="81"/>
      <c r="B85" s="31" t="s">
        <v>83</v>
      </c>
      <c r="C85" s="32" t="s">
        <v>1968</v>
      </c>
      <c r="D85" s="16" t="s">
        <v>2295</v>
      </c>
      <c r="E85" s="16" t="s">
        <v>2457</v>
      </c>
      <c r="F85" s="25" t="str">
        <f ca="1">IFERROR(__xludf.DUMMYFUNCTION("GOOGLETRANSLATE(E264, ""ja"",""en"")"),"form")</f>
        <v>form</v>
      </c>
    </row>
    <row r="86" spans="1:6">
      <c r="A86" s="81"/>
      <c r="B86" s="31" t="s">
        <v>83</v>
      </c>
      <c r="C86" s="32" t="s">
        <v>1642</v>
      </c>
      <c r="D86" s="16" t="s">
        <v>2296</v>
      </c>
      <c r="E86" s="16" t="s">
        <v>2458</v>
      </c>
      <c r="F86" s="25" t="str">
        <f ca="1">IFERROR(__xludf.DUMMYFUNCTION("GOOGLETRANSLATE(E291, ""ja"",""en"")"),"change")</f>
        <v>change</v>
      </c>
    </row>
    <row r="87" spans="1:6">
      <c r="A87" s="81"/>
      <c r="B87" s="31" t="s">
        <v>83</v>
      </c>
      <c r="C87" s="32" t="s">
        <v>1642</v>
      </c>
      <c r="D87" s="20" t="s">
        <v>2297</v>
      </c>
      <c r="E87" s="20" t="s">
        <v>2459</v>
      </c>
      <c r="F87" s="25" t="s">
        <v>2298</v>
      </c>
    </row>
    <row r="88" spans="1:6">
      <c r="A88" s="81"/>
      <c r="B88" s="31" t="s">
        <v>83</v>
      </c>
      <c r="C88" s="32" t="s">
        <v>1642</v>
      </c>
      <c r="D88" s="16" t="s">
        <v>2299</v>
      </c>
      <c r="E88" s="16" t="s">
        <v>2460</v>
      </c>
      <c r="F88" s="25" t="str">
        <f ca="1">IFERROR(__xludf.DUMMYFUNCTION("GOOGLETRANSLATE(E292, ""ja"",""en"")"),"income")</f>
        <v>income</v>
      </c>
    </row>
    <row r="89" spans="1:6">
      <c r="A89" s="81"/>
      <c r="B89" s="31" t="s">
        <v>83</v>
      </c>
      <c r="C89" s="32" t="s">
        <v>1642</v>
      </c>
      <c r="D89" s="16" t="s">
        <v>1775</v>
      </c>
      <c r="E89" s="16" t="s">
        <v>1867</v>
      </c>
      <c r="F89" s="25" t="str">
        <f ca="1">IFERROR(__xludf.DUMMYFUNCTION("GOOGLETRANSLATE(E265, ""ja"",""en"")"),"decline")</f>
        <v>decline</v>
      </c>
    </row>
    <row r="90" spans="1:6">
      <c r="A90" s="81"/>
      <c r="B90" s="31" t="s">
        <v>83</v>
      </c>
      <c r="C90" s="32" t="s">
        <v>1642</v>
      </c>
      <c r="D90" s="20" t="s">
        <v>2300</v>
      </c>
      <c r="E90" s="16" t="s">
        <v>2461</v>
      </c>
      <c r="F90" s="25" t="s">
        <v>2301</v>
      </c>
    </row>
    <row r="91" spans="1:6">
      <c r="A91" s="81"/>
      <c r="B91" s="31" t="s">
        <v>83</v>
      </c>
      <c r="C91" s="32" t="s">
        <v>1642</v>
      </c>
      <c r="D91" s="20" t="s">
        <v>2302</v>
      </c>
      <c r="E91" s="16" t="s">
        <v>2462</v>
      </c>
      <c r="F91" s="25" t="str">
        <f ca="1">IFERROR(__xludf.DUMMYFUNCTION("GOOGLETRANSLATE(E266, ""ja"",""en"")"),"relative")</f>
        <v>relative</v>
      </c>
    </row>
    <row r="92" spans="1:6">
      <c r="A92" s="81"/>
      <c r="B92" s="31" t="s">
        <v>83</v>
      </c>
      <c r="C92" s="32" t="s">
        <v>1642</v>
      </c>
      <c r="D92" s="16" t="s">
        <v>2303</v>
      </c>
      <c r="E92" s="16" t="s">
        <v>2463</v>
      </c>
      <c r="F92" s="25" t="s">
        <v>2304</v>
      </c>
    </row>
    <row r="93" spans="1:6">
      <c r="A93" s="81"/>
      <c r="B93" s="31" t="s">
        <v>83</v>
      </c>
      <c r="C93" s="36" t="s">
        <v>1645</v>
      </c>
      <c r="D93" s="16" t="s">
        <v>2305</v>
      </c>
      <c r="E93" s="16" t="s">
        <v>2464</v>
      </c>
      <c r="F93" s="25" t="s">
        <v>2306</v>
      </c>
    </row>
    <row r="94" spans="1:6">
      <c r="A94" s="81"/>
      <c r="B94" s="31" t="s">
        <v>83</v>
      </c>
      <c r="C94" s="32" t="s">
        <v>1975</v>
      </c>
      <c r="D94" s="16" t="s">
        <v>2307</v>
      </c>
      <c r="E94" s="16" t="s">
        <v>2308</v>
      </c>
      <c r="F94" s="25" t="s">
        <v>2309</v>
      </c>
    </row>
    <row r="95" spans="1:6">
      <c r="A95" s="81"/>
      <c r="B95" s="31" t="s">
        <v>83</v>
      </c>
      <c r="C95" s="32" t="s">
        <v>1645</v>
      </c>
      <c r="D95" s="20" t="s">
        <v>2310</v>
      </c>
      <c r="E95" s="16" t="s">
        <v>2043</v>
      </c>
      <c r="F95" s="25" t="str">
        <f ca="1">IFERROR(__xludf.DUMMYFUNCTION("GOOGLETRANSLATE(E208, ""ja"",""en"")"),"current")</f>
        <v>current</v>
      </c>
    </row>
    <row r="96" spans="1:6">
      <c r="A96" s="81"/>
      <c r="B96" s="31" t="s">
        <v>83</v>
      </c>
      <c r="C96" s="32" t="s">
        <v>1645</v>
      </c>
      <c r="D96" s="16" t="s">
        <v>2311</v>
      </c>
      <c r="E96" s="16" t="s">
        <v>2465</v>
      </c>
      <c r="F96" s="25" t="str">
        <f ca="1">IFERROR(__xludf.DUMMYFUNCTION("GOOGLETRANSLATE(E296, ""ja"",""en"")"),"about")</f>
        <v>about</v>
      </c>
    </row>
    <row r="97" spans="1:6">
      <c r="A97" s="81"/>
      <c r="B97" s="31" t="s">
        <v>83</v>
      </c>
      <c r="C97" s="32" t="s">
        <v>1645</v>
      </c>
      <c r="D97" s="20" t="s">
        <v>2312</v>
      </c>
      <c r="E97" s="20" t="s">
        <v>2466</v>
      </c>
      <c r="F97" s="25" t="s">
        <v>2313</v>
      </c>
    </row>
    <row r="98" spans="1:6">
      <c r="A98" s="81"/>
      <c r="B98" s="31" t="s">
        <v>83</v>
      </c>
      <c r="C98" s="32" t="s">
        <v>1645</v>
      </c>
      <c r="D98" s="20" t="s">
        <v>2314</v>
      </c>
      <c r="E98" s="16" t="s">
        <v>3484</v>
      </c>
      <c r="F98" s="25" t="s">
        <v>3692</v>
      </c>
    </row>
    <row r="99" spans="1:6">
      <c r="A99" s="81"/>
      <c r="B99" s="31" t="s">
        <v>83</v>
      </c>
      <c r="C99" s="32" t="s">
        <v>1898</v>
      </c>
      <c r="D99" s="16" t="s">
        <v>2315</v>
      </c>
      <c r="E99" s="16" t="s">
        <v>2467</v>
      </c>
      <c r="F99" s="25" t="s">
        <v>2316</v>
      </c>
    </row>
    <row r="100" spans="1:6" ht="38">
      <c r="A100" s="81"/>
      <c r="B100" s="31" t="s">
        <v>83</v>
      </c>
      <c r="C100" s="32" t="s">
        <v>1648</v>
      </c>
      <c r="D100" s="16" t="s">
        <v>2317</v>
      </c>
      <c r="E100" s="16" t="s">
        <v>2468</v>
      </c>
      <c r="F100" s="20" t="s">
        <v>2318</v>
      </c>
    </row>
    <row r="101" spans="1:6">
      <c r="A101" s="81"/>
      <c r="B101" s="31" t="s">
        <v>83</v>
      </c>
      <c r="C101" s="32" t="s">
        <v>1901</v>
      </c>
      <c r="D101" s="16" t="s">
        <v>2319</v>
      </c>
      <c r="E101" s="16" t="s">
        <v>2469</v>
      </c>
      <c r="F101" s="25" t="s">
        <v>2320</v>
      </c>
    </row>
    <row r="102" spans="1:6">
      <c r="A102" s="81"/>
      <c r="B102" s="31" t="s">
        <v>83</v>
      </c>
      <c r="C102" s="32" t="s">
        <v>1655</v>
      </c>
      <c r="D102" s="16" t="s">
        <v>2321</v>
      </c>
      <c r="E102" s="16" t="s">
        <v>2470</v>
      </c>
      <c r="F102" s="25" t="s">
        <v>3646</v>
      </c>
    </row>
    <row r="103" spans="1:6">
      <c r="A103" s="81"/>
      <c r="B103" s="31" t="s">
        <v>83</v>
      </c>
      <c r="C103" s="32" t="s">
        <v>1655</v>
      </c>
      <c r="D103" s="20" t="s">
        <v>2322</v>
      </c>
      <c r="E103" s="20" t="s">
        <v>2471</v>
      </c>
      <c r="F103" s="25" t="str">
        <f ca="1">IFERROR(__xludf.DUMMYFUNCTION("GOOGLETRANSLATE(E300, ""ja"",""en"")"),"serious")</f>
        <v>serious</v>
      </c>
    </row>
    <row r="104" spans="1:6">
      <c r="A104" s="81"/>
      <c r="B104" s="31" t="s">
        <v>83</v>
      </c>
      <c r="C104" s="32" t="s">
        <v>1655</v>
      </c>
      <c r="D104" s="16" t="s">
        <v>2010</v>
      </c>
      <c r="E104" s="16" t="s">
        <v>2138</v>
      </c>
      <c r="F104" s="25" t="s">
        <v>2323</v>
      </c>
    </row>
    <row r="105" spans="1:6">
      <c r="A105" s="81"/>
      <c r="B105" s="31" t="s">
        <v>83</v>
      </c>
      <c r="C105" s="32" t="s">
        <v>1655</v>
      </c>
      <c r="D105" s="16" t="s">
        <v>1961</v>
      </c>
      <c r="E105" s="16" t="s">
        <v>2103</v>
      </c>
      <c r="F105" s="25" t="s">
        <v>2324</v>
      </c>
    </row>
    <row r="106" spans="1:6">
      <c r="A106" s="81"/>
      <c r="B106" s="31" t="s">
        <v>83</v>
      </c>
      <c r="C106" s="32" t="s">
        <v>1655</v>
      </c>
      <c r="D106" s="16" t="s">
        <v>2325</v>
      </c>
      <c r="E106" s="16" t="s">
        <v>2472</v>
      </c>
      <c r="F106" s="25" t="s">
        <v>2326</v>
      </c>
    </row>
    <row r="107" spans="1:6">
      <c r="A107" s="81"/>
      <c r="B107" s="31" t="s">
        <v>83</v>
      </c>
      <c r="C107" s="32" t="s">
        <v>1655</v>
      </c>
      <c r="D107" s="16" t="s">
        <v>2327</v>
      </c>
      <c r="E107" s="16" t="s">
        <v>2473</v>
      </c>
      <c r="F107" s="25" t="str">
        <f ca="1">IFERROR(__xludf.DUMMYFUNCTION("GOOGLETRANSLATE(E303, ""ja"",""en"")"),"situation")</f>
        <v>situation</v>
      </c>
    </row>
    <row r="108" spans="1:6">
      <c r="A108" s="81"/>
      <c r="B108" s="31" t="s">
        <v>83</v>
      </c>
      <c r="C108" s="36" t="s">
        <v>1901</v>
      </c>
      <c r="D108" s="20" t="s">
        <v>2328</v>
      </c>
      <c r="E108" s="20" t="s">
        <v>2474</v>
      </c>
      <c r="F108" s="25" t="s">
        <v>2329</v>
      </c>
    </row>
    <row r="109" spans="1:6">
      <c r="A109" s="81"/>
      <c r="B109" s="31" t="s">
        <v>83</v>
      </c>
      <c r="C109" s="32" t="s">
        <v>1657</v>
      </c>
      <c r="D109" s="20" t="s">
        <v>2330</v>
      </c>
      <c r="E109" s="16" t="s">
        <v>2475</v>
      </c>
      <c r="F109" s="25" t="s">
        <v>2331</v>
      </c>
    </row>
    <row r="110" spans="1:6" ht="38">
      <c r="A110" s="81"/>
      <c r="B110" s="31" t="s">
        <v>83</v>
      </c>
      <c r="C110" s="32" t="s">
        <v>1657</v>
      </c>
      <c r="D110" s="76" t="s">
        <v>2332</v>
      </c>
      <c r="E110" s="20" t="s">
        <v>3485</v>
      </c>
      <c r="F110" s="25" t="s">
        <v>2333</v>
      </c>
    </row>
    <row r="111" spans="1:6">
      <c r="A111" s="81"/>
      <c r="B111" s="31" t="s">
        <v>83</v>
      </c>
      <c r="C111" s="32" t="s">
        <v>1904</v>
      </c>
      <c r="D111" s="77" t="s">
        <v>2334</v>
      </c>
      <c r="E111" s="20" t="s">
        <v>941</v>
      </c>
      <c r="F111" s="25" t="s">
        <v>2335</v>
      </c>
    </row>
    <row r="112" spans="1:6">
      <c r="A112" s="81"/>
      <c r="B112" s="31" t="s">
        <v>83</v>
      </c>
      <c r="C112" s="32" t="s">
        <v>1658</v>
      </c>
      <c r="D112" s="16" t="s">
        <v>2336</v>
      </c>
      <c r="E112" s="16" t="s">
        <v>2476</v>
      </c>
      <c r="F112" s="25" t="s">
        <v>2337</v>
      </c>
    </row>
    <row r="113" spans="1:6">
      <c r="A113" s="81"/>
      <c r="B113" s="31" t="s">
        <v>83</v>
      </c>
      <c r="C113" s="32" t="s">
        <v>1658</v>
      </c>
      <c r="D113" s="20" t="s">
        <v>2338</v>
      </c>
      <c r="E113" s="20" t="s">
        <v>2477</v>
      </c>
      <c r="F113" s="20" t="s">
        <v>2339</v>
      </c>
    </row>
    <row r="114" spans="1:6">
      <c r="A114" s="81"/>
      <c r="B114" s="31" t="s">
        <v>83</v>
      </c>
      <c r="C114" s="32" t="s">
        <v>1658</v>
      </c>
      <c r="D114" s="16" t="s">
        <v>2340</v>
      </c>
      <c r="E114" s="16" t="s">
        <v>2478</v>
      </c>
      <c r="F114" s="20" t="s">
        <v>2341</v>
      </c>
    </row>
    <row r="115" spans="1:6">
      <c r="A115" s="81"/>
      <c r="B115" s="31" t="s">
        <v>83</v>
      </c>
      <c r="C115" s="32" t="s">
        <v>1658</v>
      </c>
      <c r="D115" s="16" t="s">
        <v>2342</v>
      </c>
      <c r="E115" s="16" t="s">
        <v>2479</v>
      </c>
      <c r="F115" s="25" t="str">
        <f ca="1">IFERROR(__xludf.DUMMYFUNCTION("GOOGLETRANSLATE(E271, ""ja"",""en"")"),"lack")</f>
        <v>lack</v>
      </c>
    </row>
    <row r="116" spans="1:6">
      <c r="A116" s="81"/>
      <c r="B116" s="31" t="s">
        <v>83</v>
      </c>
      <c r="C116" s="32" t="s">
        <v>1906</v>
      </c>
      <c r="D116" s="16" t="s">
        <v>2343</v>
      </c>
      <c r="E116" s="16" t="s">
        <v>1530</v>
      </c>
      <c r="F116" s="25" t="str">
        <f ca="1">IFERROR(__xludf.DUMMYFUNCTION("GOOGLETRANSLATE(E272, ""ja"",""en"")"),"background")</f>
        <v>background</v>
      </c>
    </row>
    <row r="117" spans="1:6">
      <c r="A117" s="81"/>
      <c r="B117" s="31" t="s">
        <v>83</v>
      </c>
      <c r="C117" s="36" t="s">
        <v>1717</v>
      </c>
      <c r="D117" s="20" t="s">
        <v>2344</v>
      </c>
      <c r="E117" s="24" t="s">
        <v>2480</v>
      </c>
      <c r="F117" s="25" t="s">
        <v>2346</v>
      </c>
    </row>
    <row r="118" spans="1:6">
      <c r="A118" s="81"/>
      <c r="B118" s="31" t="s">
        <v>83</v>
      </c>
      <c r="C118" s="32" t="s">
        <v>1908</v>
      </c>
      <c r="D118" s="16" t="s">
        <v>2347</v>
      </c>
      <c r="E118" s="16" t="s">
        <v>2481</v>
      </c>
      <c r="F118" s="92" t="s">
        <v>3769</v>
      </c>
    </row>
    <row r="119" spans="1:6">
      <c r="A119" s="81"/>
      <c r="B119" s="31" t="s">
        <v>83</v>
      </c>
      <c r="C119" s="32" t="s">
        <v>1661</v>
      </c>
      <c r="D119" s="16" t="s">
        <v>2348</v>
      </c>
      <c r="E119" s="16" t="s">
        <v>2482</v>
      </c>
      <c r="F119" s="25" t="str">
        <f ca="1">IFERROR(__xludf.DUMMYFUNCTION("GOOGLETRANSLATE(E311, ""ja"",""en"")"),"situation")</f>
        <v>situation</v>
      </c>
    </row>
    <row r="120" spans="1:6">
      <c r="A120" s="81"/>
      <c r="B120" s="31" t="s">
        <v>83</v>
      </c>
      <c r="C120" s="32" t="s">
        <v>1661</v>
      </c>
      <c r="D120" s="16" t="s">
        <v>2349</v>
      </c>
      <c r="E120" s="16" t="s">
        <v>2483</v>
      </c>
      <c r="F120" s="25" t="str">
        <f ca="1">IFERROR(__xludf.DUMMYFUNCTION("GOOGLETRANSLATE(E630, ""ja"",""en"")"),"satisfaction")</f>
        <v>satisfaction</v>
      </c>
    </row>
    <row r="121" spans="1:6">
      <c r="A121" s="81"/>
      <c r="B121" s="31" t="s">
        <v>83</v>
      </c>
      <c r="C121" s="32" t="s">
        <v>1909</v>
      </c>
      <c r="D121" s="16" t="s">
        <v>1689</v>
      </c>
      <c r="E121" s="16" t="s">
        <v>1817</v>
      </c>
      <c r="F121" s="20" t="s">
        <v>2350</v>
      </c>
    </row>
    <row r="122" spans="1:6">
      <c r="A122" s="81"/>
      <c r="B122" s="31" t="s">
        <v>83</v>
      </c>
      <c r="C122" s="32" t="s">
        <v>1663</v>
      </c>
      <c r="D122" s="20" t="s">
        <v>2351</v>
      </c>
      <c r="E122" s="16" t="s">
        <v>2484</v>
      </c>
      <c r="F122" s="25" t="str">
        <f ca="1">IFERROR(__xludf.DUMMYFUNCTION("GOOGLETRANSLATE(E247, ""ja"",""en"")"),"by")</f>
        <v>by</v>
      </c>
    </row>
    <row r="123" spans="1:6">
      <c r="A123" s="81"/>
      <c r="B123" s="31" t="s">
        <v>83</v>
      </c>
      <c r="C123" s="32" t="s">
        <v>1663</v>
      </c>
      <c r="D123" s="16" t="s">
        <v>2352</v>
      </c>
      <c r="E123" s="16" t="s">
        <v>2485</v>
      </c>
      <c r="F123" s="25" t="str">
        <f ca="1">IFERROR(__xludf.DUMMYFUNCTION("GOOGLETRANSLATE(E248, ""ja"",""en"")"),"to open")</f>
        <v>to open</v>
      </c>
    </row>
    <row r="124" spans="1:6">
      <c r="A124" s="81"/>
      <c r="B124" s="31" t="s">
        <v>83</v>
      </c>
      <c r="C124" s="36" t="s">
        <v>1663</v>
      </c>
      <c r="D124" s="20" t="s">
        <v>1753</v>
      </c>
      <c r="E124" s="20" t="s">
        <v>2486</v>
      </c>
      <c r="F124" s="25"/>
    </row>
    <row r="125" spans="1:6">
      <c r="A125" s="81"/>
      <c r="B125" s="31" t="s">
        <v>83</v>
      </c>
      <c r="C125" s="32" t="s">
        <v>1663</v>
      </c>
      <c r="D125" s="16" t="s">
        <v>1679</v>
      </c>
      <c r="E125" s="16" t="s">
        <v>1811</v>
      </c>
      <c r="F125" s="25" t="str">
        <f ca="1">IFERROR(__xludf.DUMMYFUNCTION("GOOGLETRANSLATE(E315, ""ja"",""en"")"),"or")</f>
        <v>or</v>
      </c>
    </row>
    <row r="126" spans="1:6">
      <c r="A126" s="81"/>
      <c r="B126" s="31" t="s">
        <v>83</v>
      </c>
      <c r="C126" s="32" t="s">
        <v>2001</v>
      </c>
      <c r="D126" s="16" t="s">
        <v>2353</v>
      </c>
      <c r="E126" s="16" t="s">
        <v>2487</v>
      </c>
      <c r="F126" s="25" t="str">
        <f ca="1">IFERROR(__xludf.DUMMYFUNCTION("GOOGLETRANSLATE(E249, ""ja"",""en"")"),"coin")</f>
        <v>coin</v>
      </c>
    </row>
    <row r="127" spans="1:6">
      <c r="A127" s="81"/>
      <c r="B127" s="31" t="s">
        <v>83</v>
      </c>
      <c r="C127" s="32" t="s">
        <v>1666</v>
      </c>
      <c r="D127" s="16" t="s">
        <v>2354</v>
      </c>
      <c r="E127" s="16" t="s">
        <v>2488</v>
      </c>
      <c r="F127" s="25" t="str">
        <f ca="1">IFERROR(__xludf.DUMMYFUNCTION("GOOGLETRANSLATE(E316, ""ja"",""en"")"),"game")</f>
        <v>game</v>
      </c>
    </row>
    <row r="128" spans="1:6">
      <c r="A128" s="81"/>
      <c r="B128" s="31" t="s">
        <v>83</v>
      </c>
      <c r="C128" s="32" t="s">
        <v>1666</v>
      </c>
      <c r="D128" s="78" t="s">
        <v>2355</v>
      </c>
      <c r="E128" s="16" t="s">
        <v>2439</v>
      </c>
      <c r="F128" s="25" t="s">
        <v>2265</v>
      </c>
    </row>
    <row r="129" spans="1:6">
      <c r="A129" s="81"/>
      <c r="B129" s="31" t="s">
        <v>83</v>
      </c>
      <c r="C129" s="32" t="s">
        <v>2006</v>
      </c>
      <c r="D129" s="76" t="s">
        <v>2356</v>
      </c>
      <c r="E129" s="24" t="s">
        <v>2489</v>
      </c>
      <c r="F129" s="25" t="str">
        <f ca="1">IFERROR(__xludf.DUMMYFUNCTION("GOOGLETRANSLATE(E273, ""ja"",""en"")"),"operation")</f>
        <v>operation</v>
      </c>
    </row>
    <row r="130" spans="1:6">
      <c r="A130" s="81"/>
      <c r="B130" s="31" t="s">
        <v>83</v>
      </c>
      <c r="C130" s="32" t="s">
        <v>1671</v>
      </c>
      <c r="D130" s="76" t="s">
        <v>2357</v>
      </c>
      <c r="E130" s="20" t="s">
        <v>2490</v>
      </c>
      <c r="F130" s="25" t="str">
        <f ca="1">IFERROR(__xludf.DUMMYFUNCTION("GOOGLETRANSLATE(E250, ""ja"",""en"")"),"charity")</f>
        <v>charity</v>
      </c>
    </row>
    <row r="131" spans="1:6">
      <c r="A131" s="81"/>
      <c r="B131" s="31" t="s">
        <v>83</v>
      </c>
      <c r="C131" s="32" t="s">
        <v>1740</v>
      </c>
      <c r="D131" s="78" t="s">
        <v>2358</v>
      </c>
      <c r="E131" s="16" t="s">
        <v>2491</v>
      </c>
      <c r="F131" s="25" t="str">
        <f ca="1">IFERROR(__xludf.DUMMYFUNCTION("GOOGLETRANSLATE(E275, ""ja"",""en"")"),"self-esteem")</f>
        <v>self-esteem</v>
      </c>
    </row>
    <row r="132" spans="1:6">
      <c r="A132" s="81"/>
      <c r="B132" s="31" t="s">
        <v>83</v>
      </c>
      <c r="C132" s="32" t="s">
        <v>1740</v>
      </c>
      <c r="D132" s="76" t="s">
        <v>2359</v>
      </c>
      <c r="E132" s="20" t="s">
        <v>2492</v>
      </c>
      <c r="F132" s="25" t="s">
        <v>2360</v>
      </c>
    </row>
    <row r="133" spans="1:6">
      <c r="A133" s="81"/>
      <c r="B133" s="31" t="s">
        <v>83</v>
      </c>
      <c r="C133" s="32" t="s">
        <v>1923</v>
      </c>
      <c r="D133" s="78" t="s">
        <v>1979</v>
      </c>
      <c r="E133" s="16" t="s">
        <v>2115</v>
      </c>
      <c r="F133" s="25" t="str">
        <f ca="1">IFERROR(__xludf.DUMMYFUNCTION("GOOGLETRANSLATE(E123, ""ja"",""en"")"),"on the other hand")</f>
        <v>on the other hand</v>
      </c>
    </row>
    <row r="134" spans="1:6">
      <c r="A134" s="81"/>
      <c r="B134" s="31" t="s">
        <v>83</v>
      </c>
      <c r="C134" s="32" t="s">
        <v>1673</v>
      </c>
      <c r="D134" s="78" t="s">
        <v>2361</v>
      </c>
      <c r="E134" s="16" t="s">
        <v>2443</v>
      </c>
      <c r="F134" s="25" t="str">
        <f ca="1">IFERROR(__xludf.DUMMYFUNCTION("GOOGLETRANSLATE(E612, ""ja"",""en"")"),"to provide")</f>
        <v>to provide</v>
      </c>
    </row>
    <row r="135" spans="1:6">
      <c r="A135" s="81"/>
      <c r="B135" s="31" t="s">
        <v>83</v>
      </c>
      <c r="C135" s="32" t="s">
        <v>1925</v>
      </c>
      <c r="D135" s="78" t="s">
        <v>2228</v>
      </c>
      <c r="E135" s="16" t="s">
        <v>2417</v>
      </c>
      <c r="F135" s="25" t="s">
        <v>3693</v>
      </c>
    </row>
    <row r="136" spans="1:6">
      <c r="A136" s="81"/>
      <c r="B136" s="31" t="s">
        <v>83</v>
      </c>
      <c r="C136" s="32" t="s">
        <v>1675</v>
      </c>
      <c r="D136" s="78" t="s">
        <v>1953</v>
      </c>
      <c r="E136" s="16" t="s">
        <v>2096</v>
      </c>
      <c r="F136" s="25" t="str">
        <f ca="1">IFERROR(__xludf.DUMMYFUNCTION("GOOGLETRANSLATE(E107, ""ja"",""en"")"),"simply")</f>
        <v>simply</v>
      </c>
    </row>
    <row r="137" spans="1:6">
      <c r="A137" s="81"/>
      <c r="B137" s="31" t="s">
        <v>83</v>
      </c>
      <c r="C137" s="32" t="s">
        <v>1675</v>
      </c>
      <c r="D137" s="78" t="s">
        <v>2362</v>
      </c>
      <c r="E137" s="16" t="s">
        <v>2493</v>
      </c>
      <c r="F137" s="25" t="str">
        <f ca="1">IFERROR(__xludf.DUMMYFUNCTION("GOOGLETRANSLATE(E319, ""ja"",""en"")"),"place")</f>
        <v>place</v>
      </c>
    </row>
    <row r="138" spans="1:6">
      <c r="A138" s="81"/>
      <c r="B138" s="31" t="s">
        <v>83</v>
      </c>
      <c r="C138" s="32" t="s">
        <v>2024</v>
      </c>
      <c r="D138" s="78" t="s">
        <v>2363</v>
      </c>
      <c r="E138" s="16" t="s">
        <v>2494</v>
      </c>
      <c r="F138" s="25" t="s">
        <v>3694</v>
      </c>
    </row>
    <row r="139" spans="1:6">
      <c r="A139" s="81"/>
      <c r="B139" s="31" t="s">
        <v>83</v>
      </c>
      <c r="C139" s="32" t="s">
        <v>1754</v>
      </c>
      <c r="D139" s="78" t="s">
        <v>2364</v>
      </c>
      <c r="E139" s="16" t="s">
        <v>2495</v>
      </c>
      <c r="F139" s="75" t="s">
        <v>2365</v>
      </c>
    </row>
    <row r="140" spans="1:6" ht="21" customHeight="1">
      <c r="A140" s="81"/>
      <c r="B140" s="31" t="s">
        <v>83</v>
      </c>
      <c r="C140" s="32" t="s">
        <v>1754</v>
      </c>
      <c r="D140" s="16" t="s">
        <v>2380</v>
      </c>
      <c r="E140" s="16" t="s">
        <v>2505</v>
      </c>
      <c r="F140" s="25" t="s">
        <v>2381</v>
      </c>
    </row>
    <row r="141" spans="1:6">
      <c r="A141" s="81"/>
      <c r="B141" s="31" t="s">
        <v>83</v>
      </c>
      <c r="C141" s="32" t="s">
        <v>1754</v>
      </c>
      <c r="D141" s="78" t="s">
        <v>2366</v>
      </c>
      <c r="E141" s="16" t="s">
        <v>2496</v>
      </c>
      <c r="F141" s="25" t="s">
        <v>2367</v>
      </c>
    </row>
    <row r="142" spans="1:6">
      <c r="A142" s="81"/>
      <c r="B142" s="31" t="s">
        <v>83</v>
      </c>
      <c r="C142" s="32" t="s">
        <v>2031</v>
      </c>
      <c r="D142" s="78" t="s">
        <v>2368</v>
      </c>
      <c r="E142" s="16" t="s">
        <v>2497</v>
      </c>
      <c r="F142" s="20" t="s">
        <v>2369</v>
      </c>
    </row>
    <row r="143" spans="1:6">
      <c r="A143" s="81"/>
      <c r="B143" s="31" t="s">
        <v>83</v>
      </c>
      <c r="C143" s="32" t="s">
        <v>1761</v>
      </c>
      <c r="D143" s="20" t="s">
        <v>1905</v>
      </c>
      <c r="E143" s="20" t="s">
        <v>1499</v>
      </c>
      <c r="F143" s="25" t="str">
        <f ca="1">IFERROR(__xludf.DUMMYFUNCTION("GOOGLETRANSLATE(E41, ""ja"",""en"")"),"various")</f>
        <v>various</v>
      </c>
    </row>
    <row r="144" spans="1:6">
      <c r="A144" s="81"/>
      <c r="B144" s="31" t="s">
        <v>83</v>
      </c>
      <c r="C144" s="32" t="s">
        <v>1761</v>
      </c>
      <c r="D144" s="16" t="s">
        <v>2370</v>
      </c>
      <c r="E144" s="16" t="s">
        <v>3486</v>
      </c>
      <c r="F144" s="25" t="str">
        <f ca="1">IFERROR(__xludf.DUMMYFUNCTION("GOOGLETRANSLATE(E254, ""ja"",""en"")"),"learning")</f>
        <v>learning</v>
      </c>
    </row>
    <row r="145" spans="1:6">
      <c r="A145" s="81"/>
      <c r="B145" s="31" t="s">
        <v>83</v>
      </c>
      <c r="C145" s="32" t="s">
        <v>296</v>
      </c>
      <c r="D145" s="16" t="s">
        <v>2382</v>
      </c>
      <c r="E145" s="16" t="s">
        <v>2506</v>
      </c>
      <c r="F145" s="20" t="s">
        <v>2383</v>
      </c>
    </row>
    <row r="146" spans="1:6">
      <c r="A146" s="81"/>
      <c r="B146" s="31" t="s">
        <v>83</v>
      </c>
      <c r="C146" s="32" t="s">
        <v>1768</v>
      </c>
      <c r="D146" s="16" t="s">
        <v>2371</v>
      </c>
      <c r="E146" s="16" t="s">
        <v>2498</v>
      </c>
      <c r="F146" s="25" t="str">
        <f ca="1">IFERROR(__xludf.DUMMYFUNCTION("GOOGLETRANSLATE(E322, ""ja"",""en"")"),"growth")</f>
        <v>growth</v>
      </c>
    </row>
    <row r="147" spans="1:6">
      <c r="A147" s="81"/>
      <c r="B147" s="31" t="s">
        <v>83</v>
      </c>
      <c r="C147" s="32" t="s">
        <v>1768</v>
      </c>
      <c r="D147" s="16" t="s">
        <v>2372</v>
      </c>
      <c r="E147" s="16" t="s">
        <v>2499</v>
      </c>
      <c r="F147" s="25" t="str">
        <f ca="1">IFERROR(__xludf.DUMMYFUNCTION("GOOGLETRANSLATE(E255, ""ja"",""en"")"),"support")</f>
        <v>support</v>
      </c>
    </row>
    <row r="148" spans="1:6">
      <c r="A148" s="81"/>
      <c r="B148" s="31" t="s">
        <v>83</v>
      </c>
      <c r="C148" s="32" t="s">
        <v>1768</v>
      </c>
      <c r="D148" s="16" t="s">
        <v>2373</v>
      </c>
      <c r="E148" s="20" t="s">
        <v>2500</v>
      </c>
      <c r="F148" s="25" t="str">
        <f ca="1">IFERROR(__xludf.DUMMYFUNCTION("GOOGLETRANSLATE(E323, ""ja"",""en"")"),"encounter")</f>
        <v>encounter</v>
      </c>
    </row>
    <row r="149" spans="1:6">
      <c r="A149" s="81"/>
      <c r="B149" s="31" t="s">
        <v>83</v>
      </c>
      <c r="C149" s="32" t="s">
        <v>3697</v>
      </c>
      <c r="D149" s="16" t="s">
        <v>2384</v>
      </c>
      <c r="E149" s="16" t="s">
        <v>2507</v>
      </c>
      <c r="F149" s="20" t="s">
        <v>2385</v>
      </c>
    </row>
    <row r="150" spans="1:6">
      <c r="A150" s="81"/>
      <c r="B150" s="31" t="s">
        <v>83</v>
      </c>
      <c r="C150" s="36" t="s">
        <v>1929</v>
      </c>
      <c r="D150" s="20" t="s">
        <v>1690</v>
      </c>
      <c r="E150" s="24" t="s">
        <v>1818</v>
      </c>
      <c r="F150" s="20" t="s">
        <v>2376</v>
      </c>
    </row>
    <row r="151" spans="1:6">
      <c r="A151" s="81"/>
      <c r="B151" s="31" t="s">
        <v>83</v>
      </c>
      <c r="C151" s="36" t="s">
        <v>1929</v>
      </c>
      <c r="D151" s="16" t="s">
        <v>2374</v>
      </c>
      <c r="E151" s="16" t="s">
        <v>2501</v>
      </c>
      <c r="F151" s="25" t="s">
        <v>3695</v>
      </c>
    </row>
    <row r="152" spans="1:6">
      <c r="A152" s="81"/>
      <c r="B152" s="31" t="s">
        <v>3696</v>
      </c>
      <c r="C152" s="32" t="s">
        <v>3697</v>
      </c>
      <c r="D152" s="20" t="s">
        <v>3698</v>
      </c>
      <c r="E152" s="24" t="s">
        <v>1543</v>
      </c>
      <c r="F152" s="20" t="s">
        <v>927</v>
      </c>
    </row>
    <row r="153" spans="1:6">
      <c r="A153" s="81"/>
      <c r="B153" s="31" t="s">
        <v>83</v>
      </c>
      <c r="C153" s="32" t="s">
        <v>1777</v>
      </c>
      <c r="D153" s="16" t="s">
        <v>2377</v>
      </c>
      <c r="E153" s="16" t="s">
        <v>2502</v>
      </c>
      <c r="F153" s="25" t="str">
        <f ca="1">IFERROR(__xludf.DUMMYFUNCTION("GOOGLETRANSLATE(E119, ""ja"",""en"")"),"role")</f>
        <v>role</v>
      </c>
    </row>
    <row r="154" spans="1:6">
      <c r="A154" s="82"/>
      <c r="B154" s="31" t="s">
        <v>83</v>
      </c>
      <c r="C154" s="32" t="s">
        <v>1777</v>
      </c>
      <c r="D154" s="20" t="s">
        <v>2378</v>
      </c>
      <c r="E154" s="20" t="s">
        <v>2503</v>
      </c>
      <c r="F154" s="25" t="str">
        <f ca="1">IFERROR(__xludf.DUMMYFUNCTION("GOOGLETRANSLATE(E278, ""ja"",""en"")"),"be responsible for")</f>
        <v>be responsible for</v>
      </c>
    </row>
  </sheetData>
  <autoFilter ref="A1:J154" xr:uid="{0E335D0E-B5C3-4381-97AA-6FA437313910}"/>
  <mergeCells count="1">
    <mergeCell ref="A2:A154"/>
  </mergeCells>
  <phoneticPr fontId="22" type="noConversion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326C-DCFD-460F-9CAC-0E29682D60B1}">
  <dimension ref="A1:H165"/>
  <sheetViews>
    <sheetView zoomScale="98" zoomScaleNormal="98" workbookViewId="0">
      <pane ySplit="1" topLeftCell="A125" activePane="bottomLeft" state="frozen"/>
      <selection pane="bottomLeft" sqref="A1:F165"/>
    </sheetView>
  </sheetViews>
  <sheetFormatPr baseColWidth="10" defaultColWidth="11.28515625" defaultRowHeight="20"/>
  <cols>
    <col min="1" max="1" width="8.28515625" style="2" customWidth="1"/>
    <col min="2" max="2" width="8.42578125" style="2" customWidth="1"/>
    <col min="3" max="3" width="11.28515625" style="2"/>
    <col min="4" max="4" width="20.28515625" style="2" customWidth="1"/>
    <col min="5" max="5" width="19.140625" style="2" customWidth="1"/>
    <col min="6" max="6" width="22" style="2" customWidth="1"/>
    <col min="7" max="16384" width="11.28515625" style="2"/>
  </cols>
  <sheetData>
    <row r="1" spans="1:7" s="10" customFormat="1" ht="17">
      <c r="A1" s="72" t="s">
        <v>0</v>
      </c>
      <c r="B1" s="72" t="s">
        <v>1</v>
      </c>
      <c r="C1" s="73" t="s">
        <v>3747</v>
      </c>
      <c r="D1" s="72" t="s">
        <v>3740</v>
      </c>
      <c r="E1" s="72" t="s">
        <v>3741</v>
      </c>
      <c r="F1" s="72" t="s">
        <v>3742</v>
      </c>
    </row>
    <row r="2" spans="1:7">
      <c r="A2" s="80" t="s">
        <v>2509</v>
      </c>
      <c r="B2" s="31"/>
      <c r="C2" s="32" t="s">
        <v>2172</v>
      </c>
      <c r="D2" s="20" t="s">
        <v>2344</v>
      </c>
      <c r="E2" s="20" t="s">
        <v>2345</v>
      </c>
      <c r="F2" s="25" t="s">
        <v>2346</v>
      </c>
      <c r="G2" s="3"/>
    </row>
    <row r="3" spans="1:7">
      <c r="A3" s="81"/>
      <c r="B3" s="31"/>
      <c r="C3" s="32" t="s">
        <v>2172</v>
      </c>
      <c r="D3" s="16" t="s">
        <v>2250</v>
      </c>
      <c r="E3" s="16" t="s">
        <v>3400</v>
      </c>
      <c r="F3" s="25" t="str">
        <f ca="1">IFERROR(__xludf.DUMMYFUNCTION("GOOGLETRANSLATE(E218, ""ja"",""en"")"),"health")</f>
        <v>health</v>
      </c>
      <c r="G3" s="3"/>
    </row>
    <row r="4" spans="1:7">
      <c r="A4" s="81"/>
      <c r="B4" s="31" t="s">
        <v>2175</v>
      </c>
      <c r="C4" s="32" t="s">
        <v>2176</v>
      </c>
      <c r="D4" s="16" t="s">
        <v>2510</v>
      </c>
      <c r="E4" s="16" t="s">
        <v>3401</v>
      </c>
      <c r="F4" s="25" t="str">
        <f ca="1">IFERROR(__xludf.DUMMYFUNCTION("GOOGLETRANSLATE(E330, ""ja"",""en"")"),"longevity")</f>
        <v>longevity</v>
      </c>
      <c r="G4" s="3"/>
    </row>
    <row r="5" spans="1:7">
      <c r="A5" s="81"/>
      <c r="B5" s="31" t="s">
        <v>2175</v>
      </c>
      <c r="C5" s="32" t="s">
        <v>2176</v>
      </c>
      <c r="D5" s="20" t="s">
        <v>2511</v>
      </c>
      <c r="E5" s="20" t="s">
        <v>2512</v>
      </c>
      <c r="F5" s="25" t="s">
        <v>2513</v>
      </c>
      <c r="G5" s="48"/>
    </row>
    <row r="6" spans="1:7">
      <c r="A6" s="81"/>
      <c r="B6" s="31" t="s">
        <v>8</v>
      </c>
      <c r="C6" s="32" t="s">
        <v>1872</v>
      </c>
      <c r="D6" s="16" t="s">
        <v>1934</v>
      </c>
      <c r="E6" s="16" t="s">
        <v>1557</v>
      </c>
      <c r="F6" s="25" t="str">
        <f ca="1">IFERROR(__xludf.DUMMYFUNCTION("GOOGLETRANSLATE(E692, ""ja"",""en"")"),"example")</f>
        <v>example</v>
      </c>
      <c r="G6" s="3"/>
    </row>
    <row r="7" spans="1:7">
      <c r="A7" s="81"/>
      <c r="B7" s="31" t="s">
        <v>8</v>
      </c>
      <c r="C7" s="32" t="s">
        <v>1872</v>
      </c>
      <c r="D7" s="16" t="s">
        <v>2514</v>
      </c>
      <c r="E7" s="16" t="s">
        <v>3402</v>
      </c>
      <c r="F7" s="20" t="s">
        <v>2515</v>
      </c>
      <c r="G7" s="3"/>
    </row>
    <row r="8" spans="1:7">
      <c r="A8" s="81"/>
      <c r="B8" s="31" t="s">
        <v>8</v>
      </c>
      <c r="C8" s="32" t="s">
        <v>1937</v>
      </c>
      <c r="D8" s="16" t="s">
        <v>2516</v>
      </c>
      <c r="E8" s="16" t="s">
        <v>3403</v>
      </c>
      <c r="F8" s="25" t="s">
        <v>2517</v>
      </c>
      <c r="G8" s="4"/>
    </row>
    <row r="9" spans="1:7">
      <c r="A9" s="81"/>
      <c r="B9" s="31" t="s">
        <v>8</v>
      </c>
      <c r="C9" s="32" t="s">
        <v>1619</v>
      </c>
      <c r="D9" s="20" t="s">
        <v>2518</v>
      </c>
      <c r="E9" s="24" t="s">
        <v>2519</v>
      </c>
      <c r="F9" s="25" t="s">
        <v>2520</v>
      </c>
      <c r="G9" s="48"/>
    </row>
    <row r="10" spans="1:7">
      <c r="A10" s="81"/>
      <c r="B10" s="31" t="s">
        <v>8</v>
      </c>
      <c r="C10" s="32" t="s">
        <v>1876</v>
      </c>
      <c r="D10" s="16" t="s">
        <v>2521</v>
      </c>
      <c r="E10" s="16" t="s">
        <v>3404</v>
      </c>
      <c r="F10" s="20" t="s">
        <v>2522</v>
      </c>
      <c r="G10" s="3"/>
    </row>
    <row r="11" spans="1:7">
      <c r="A11" s="81"/>
      <c r="B11" s="31" t="s">
        <v>8</v>
      </c>
      <c r="C11" s="32" t="s">
        <v>1621</v>
      </c>
      <c r="D11" s="16" t="s">
        <v>2523</v>
      </c>
      <c r="E11" s="20" t="s">
        <v>3738</v>
      </c>
      <c r="F11" s="16"/>
      <c r="G11" s="3"/>
    </row>
    <row r="12" spans="1:7">
      <c r="A12" s="81"/>
      <c r="B12" s="31" t="s">
        <v>8</v>
      </c>
      <c r="C12" s="32" t="s">
        <v>1621</v>
      </c>
      <c r="D12" s="16" t="s">
        <v>2524</v>
      </c>
      <c r="E12" s="16" t="s">
        <v>2525</v>
      </c>
      <c r="F12" s="25" t="str">
        <f ca="1">IFERROR(__xludf.DUMMYFUNCTION("GOOGLETRANSLATE(E68, ""ja"",""en"")"),"both men and women")</f>
        <v>both men and women</v>
      </c>
      <c r="G12" s="4"/>
    </row>
    <row r="13" spans="1:7">
      <c r="A13" s="81"/>
      <c r="B13" s="31" t="s">
        <v>8</v>
      </c>
      <c r="C13" s="32" t="s">
        <v>1621</v>
      </c>
      <c r="D13" s="16" t="s">
        <v>2526</v>
      </c>
      <c r="E13" s="20" t="s">
        <v>3757</v>
      </c>
      <c r="F13" s="16" t="s">
        <v>3756</v>
      </c>
      <c r="G13" s="3"/>
    </row>
    <row r="14" spans="1:7">
      <c r="A14" s="81"/>
      <c r="B14" s="31" t="s">
        <v>8</v>
      </c>
      <c r="C14" s="32" t="s">
        <v>1945</v>
      </c>
      <c r="D14" s="16" t="s">
        <v>2527</v>
      </c>
      <c r="E14" s="16" t="s">
        <v>3405</v>
      </c>
      <c r="F14" s="25" t="str">
        <f ca="1">IFERROR(__xludf.DUMMYFUNCTION("GOOGLETRANSLATE(E331, ""ja"",""en"")"),"secret")</f>
        <v>secret</v>
      </c>
      <c r="G14" s="3"/>
    </row>
    <row r="15" spans="1:7">
      <c r="A15" s="81"/>
      <c r="B15" s="31" t="s">
        <v>8</v>
      </c>
      <c r="C15" s="32" t="s">
        <v>1626</v>
      </c>
      <c r="D15" s="76" t="s">
        <v>2528</v>
      </c>
      <c r="E15" s="16" t="s">
        <v>3451</v>
      </c>
      <c r="F15" s="25" t="str">
        <f ca="1">IFERROR(__xludf.DUMMYFUNCTION("GOOGLETRANSLATE(E332, ""ja"",""en"")"),"healthy")</f>
        <v>healthy</v>
      </c>
      <c r="G15" s="3"/>
    </row>
    <row r="16" spans="1:7">
      <c r="A16" s="81"/>
      <c r="B16" s="31" t="s">
        <v>8</v>
      </c>
      <c r="C16" s="32" t="s">
        <v>1626</v>
      </c>
      <c r="D16" s="78" t="s">
        <v>1882</v>
      </c>
      <c r="E16" s="16" t="s">
        <v>2060</v>
      </c>
      <c r="F16" s="25" t="str">
        <f ca="1">IFERROR(__xludf.DUMMYFUNCTION("GOOGLETRANSLATE(E3, ""ja"",""en"")"),"Japanese food")</f>
        <v>Japanese food</v>
      </c>
      <c r="G16" s="3"/>
    </row>
    <row r="17" spans="1:7">
      <c r="A17" s="81"/>
      <c r="B17" s="31" t="s">
        <v>8</v>
      </c>
      <c r="C17" s="32" t="s">
        <v>1952</v>
      </c>
      <c r="D17" s="20" t="s">
        <v>2529</v>
      </c>
      <c r="E17" s="20" t="s">
        <v>2530</v>
      </c>
      <c r="F17" s="25" t="s">
        <v>2531</v>
      </c>
      <c r="G17" s="4"/>
    </row>
    <row r="18" spans="1:7">
      <c r="A18" s="81"/>
      <c r="B18" s="31" t="s">
        <v>8</v>
      </c>
      <c r="C18" s="32" t="s">
        <v>1629</v>
      </c>
      <c r="D18" s="16" t="s">
        <v>1888</v>
      </c>
      <c r="E18" s="16" t="s">
        <v>3406</v>
      </c>
      <c r="F18" s="25" t="str">
        <f ca="1">IFERROR(__xludf.DUMMYFUNCTION("GOOGLETRANSLATE(E334, ""ja"",""en"")"),"seasoning")</f>
        <v>seasoning</v>
      </c>
      <c r="G18" s="4"/>
    </row>
    <row r="19" spans="1:7">
      <c r="A19" s="81"/>
      <c r="B19" s="31" t="s">
        <v>8</v>
      </c>
      <c r="C19" s="32" t="s">
        <v>1629</v>
      </c>
      <c r="D19" s="16" t="s">
        <v>2532</v>
      </c>
      <c r="E19" s="16" t="s">
        <v>3407</v>
      </c>
      <c r="F19" s="25" t="str">
        <f ca="1">IFERROR(__xludf.DUMMYFUNCTION("GOOGLETRANSLATE(E373, ""ja"",""en"")"),"vinegar")</f>
        <v>vinegar</v>
      </c>
      <c r="G19" s="3"/>
    </row>
    <row r="20" spans="1:7">
      <c r="A20" s="81"/>
      <c r="B20" s="31" t="s">
        <v>8</v>
      </c>
      <c r="C20" s="32" t="s">
        <v>1629</v>
      </c>
      <c r="D20" s="16" t="s">
        <v>2533</v>
      </c>
      <c r="E20" s="16" t="s">
        <v>2534</v>
      </c>
      <c r="F20" s="25" t="str">
        <f ca="1">IFERROR(__xludf.DUMMYFUNCTION("GOOGLETRANSLATE(E374, ""ja"",""en"")"),"all")</f>
        <v>all</v>
      </c>
      <c r="G20" s="3"/>
    </row>
    <row r="21" spans="1:7">
      <c r="A21" s="81"/>
      <c r="B21" s="31" t="s">
        <v>8</v>
      </c>
      <c r="C21" s="32" t="s">
        <v>1891</v>
      </c>
      <c r="D21" s="16" t="s">
        <v>2535</v>
      </c>
      <c r="E21" s="16" t="s">
        <v>3408</v>
      </c>
      <c r="F21" s="25" t="s">
        <v>2536</v>
      </c>
      <c r="G21" s="4"/>
    </row>
    <row r="22" spans="1:7">
      <c r="A22" s="81"/>
      <c r="B22" s="31" t="s">
        <v>8</v>
      </c>
      <c r="C22" s="32" t="s">
        <v>1633</v>
      </c>
      <c r="D22" s="20" t="s">
        <v>2537</v>
      </c>
      <c r="E22" s="16" t="s">
        <v>2538</v>
      </c>
      <c r="F22" s="25" t="s">
        <v>2539</v>
      </c>
      <c r="G22" s="4"/>
    </row>
    <row r="23" spans="1:7">
      <c r="A23" s="81"/>
      <c r="B23" s="31" t="s">
        <v>8</v>
      </c>
      <c r="C23" s="32" t="s">
        <v>1893</v>
      </c>
      <c r="D23" s="16" t="s">
        <v>2540</v>
      </c>
      <c r="E23" s="16" t="s">
        <v>3409</v>
      </c>
      <c r="F23" s="20" t="s">
        <v>2541</v>
      </c>
      <c r="G23" s="3"/>
    </row>
    <row r="24" spans="1:7">
      <c r="A24" s="81"/>
      <c r="B24" s="31" t="s">
        <v>8</v>
      </c>
      <c r="C24" s="32" t="s">
        <v>1962</v>
      </c>
      <c r="D24" s="16" t="s">
        <v>2542</v>
      </c>
      <c r="E24" s="16" t="s">
        <v>2543</v>
      </c>
      <c r="F24" s="20" t="s">
        <v>2544</v>
      </c>
      <c r="G24" s="3"/>
    </row>
    <row r="25" spans="1:7">
      <c r="A25" s="81"/>
      <c r="B25" s="31" t="s">
        <v>8</v>
      </c>
      <c r="C25" s="32" t="s">
        <v>1640</v>
      </c>
      <c r="D25" s="16" t="s">
        <v>2545</v>
      </c>
      <c r="E25" s="16" t="s">
        <v>3410</v>
      </c>
      <c r="F25" s="25" t="str">
        <f ca="1">IFERROR(__xludf.DUMMYFUNCTION("GOOGLETRANSLATE(E339, ""ja"",""en"")"),"bonito")</f>
        <v>bonito</v>
      </c>
      <c r="G25" s="4"/>
    </row>
    <row r="26" spans="1:7">
      <c r="A26" s="81"/>
      <c r="B26" s="31" t="s">
        <v>8</v>
      </c>
      <c r="C26" s="32" t="s">
        <v>1640</v>
      </c>
      <c r="D26" s="20" t="s">
        <v>2546</v>
      </c>
      <c r="E26" s="20" t="s">
        <v>2547</v>
      </c>
      <c r="F26" s="25" t="s">
        <v>2548</v>
      </c>
      <c r="G26" s="4"/>
    </row>
    <row r="27" spans="1:7">
      <c r="A27" s="81"/>
      <c r="B27" s="31" t="s">
        <v>8</v>
      </c>
      <c r="C27" s="32" t="s">
        <v>1968</v>
      </c>
      <c r="D27" s="16" t="s">
        <v>2549</v>
      </c>
      <c r="E27" s="16" t="s">
        <v>1884</v>
      </c>
      <c r="F27" s="20" t="s">
        <v>1885</v>
      </c>
      <c r="G27" s="3"/>
    </row>
    <row r="28" spans="1:7">
      <c r="A28" s="81"/>
      <c r="B28" s="31" t="s">
        <v>8</v>
      </c>
      <c r="C28" s="32" t="s">
        <v>1975</v>
      </c>
      <c r="D28" s="16" t="s">
        <v>2550</v>
      </c>
      <c r="E28" s="16" t="s">
        <v>3411</v>
      </c>
      <c r="F28" s="25" t="str">
        <f ca="1">IFERROR(__xludf.DUMMYFUNCTION("GOOGLETRANSLATE(E344, ""ja"",""en"")"),"fats and oils")</f>
        <v>fats and oils</v>
      </c>
      <c r="G28" s="3"/>
    </row>
    <row r="29" spans="1:7">
      <c r="A29" s="81"/>
      <c r="B29" s="31" t="s">
        <v>8</v>
      </c>
      <c r="C29" s="32" t="s">
        <v>1645</v>
      </c>
      <c r="D29" s="16" t="s">
        <v>2551</v>
      </c>
      <c r="E29" s="16" t="s">
        <v>2552</v>
      </c>
      <c r="F29" s="25" t="s">
        <v>3700</v>
      </c>
      <c r="G29" s="4"/>
    </row>
    <row r="30" spans="1:7">
      <c r="A30" s="81"/>
      <c r="B30" s="31" t="s">
        <v>8</v>
      </c>
      <c r="C30" s="32" t="s">
        <v>1898</v>
      </c>
      <c r="D30" s="20" t="s">
        <v>2553</v>
      </c>
      <c r="E30" s="16" t="s">
        <v>3452</v>
      </c>
      <c r="F30" s="20" t="s">
        <v>2554</v>
      </c>
      <c r="G30" s="4"/>
    </row>
    <row r="31" spans="1:7">
      <c r="A31" s="81"/>
      <c r="B31" s="31" t="s">
        <v>8</v>
      </c>
      <c r="C31" s="32" t="s">
        <v>1648</v>
      </c>
      <c r="D31" s="20" t="s">
        <v>2555</v>
      </c>
      <c r="E31" s="20" t="s">
        <v>2556</v>
      </c>
      <c r="F31" s="25" t="s">
        <v>3701</v>
      </c>
      <c r="G31" s="48"/>
    </row>
    <row r="32" spans="1:7">
      <c r="A32" s="81"/>
      <c r="B32" s="31" t="s">
        <v>8</v>
      </c>
      <c r="C32" s="32" t="s">
        <v>1648</v>
      </c>
      <c r="D32" s="16" t="s">
        <v>2557</v>
      </c>
      <c r="E32" s="16" t="s">
        <v>3388</v>
      </c>
      <c r="F32" s="25" t="str">
        <f ca="1">IFERROR(__xludf.DUMMYFUNCTION("GOOGLETRANSLATE(E380, ""ja"",""en"")"),"moreover")</f>
        <v>moreover</v>
      </c>
      <c r="G32" s="3"/>
    </row>
    <row r="33" spans="1:7">
      <c r="A33" s="81"/>
      <c r="B33" s="31" t="s">
        <v>8</v>
      </c>
      <c r="C33" s="32" t="s">
        <v>1648</v>
      </c>
      <c r="D33" s="16" t="s">
        <v>2558</v>
      </c>
      <c r="E33" s="16" t="s">
        <v>3412</v>
      </c>
      <c r="F33" s="25" t="str">
        <f ca="1">IFERROR(__xludf.DUMMYFUNCTION("GOOGLETRANSLATE(E347, ""ja"",""en"")"),"sweetness")</f>
        <v>sweetness</v>
      </c>
      <c r="G33" s="3"/>
    </row>
    <row r="34" spans="1:7">
      <c r="A34" s="81"/>
      <c r="B34" s="31" t="s">
        <v>8</v>
      </c>
      <c r="C34" s="32" t="s">
        <v>1648</v>
      </c>
      <c r="D34" s="16" t="s">
        <v>2559</v>
      </c>
      <c r="E34" s="16" t="s">
        <v>3413</v>
      </c>
      <c r="F34" s="25" t="str">
        <f ca="1">IFERROR(__xludf.DUMMYFUNCTION("GOOGLETRANSLATE(E348, ""ja"",""en"")"),"salty taste")</f>
        <v>salty taste</v>
      </c>
      <c r="G34" s="3"/>
    </row>
    <row r="35" spans="1:7">
      <c r="A35" s="81"/>
      <c r="B35" s="31" t="s">
        <v>8</v>
      </c>
      <c r="C35" s="32" t="s">
        <v>1648</v>
      </c>
      <c r="D35" s="16" t="s">
        <v>2560</v>
      </c>
      <c r="E35" s="16" t="s">
        <v>3414</v>
      </c>
      <c r="F35" s="25" t="s">
        <v>2561</v>
      </c>
      <c r="G35" s="3"/>
    </row>
    <row r="36" spans="1:7">
      <c r="A36" s="81"/>
      <c r="B36" s="31" t="s">
        <v>8</v>
      </c>
      <c r="C36" s="36" t="s">
        <v>1655</v>
      </c>
      <c r="D36" s="16" t="s">
        <v>2562</v>
      </c>
      <c r="E36" s="16" t="s">
        <v>3415</v>
      </c>
      <c r="F36" s="25" t="str">
        <f ca="1">IFERROR(__xludf.DUMMYFUNCTION("GOOGLETRANSLATE(E381, ""ja"",""en"")"),"bitter taste")</f>
        <v>bitter taste</v>
      </c>
      <c r="G36" s="4"/>
    </row>
    <row r="37" spans="1:7">
      <c r="A37" s="81"/>
      <c r="B37" s="31" t="s">
        <v>8</v>
      </c>
      <c r="C37" s="32" t="s">
        <v>1901</v>
      </c>
      <c r="D37" s="20" t="s">
        <v>2563</v>
      </c>
      <c r="E37" s="20" t="s">
        <v>2564</v>
      </c>
      <c r="F37" s="25" t="str">
        <f ca="1">IFERROR(__xludf.DUMMYFUNCTION("GOOGLETRANSLATE(E288, ""ja"",""en"")"),"to add")</f>
        <v>to add</v>
      </c>
      <c r="G37" s="3"/>
    </row>
    <row r="38" spans="1:7">
      <c r="A38" s="81"/>
      <c r="B38" s="31" t="s">
        <v>8</v>
      </c>
      <c r="C38" s="32" t="s">
        <v>1655</v>
      </c>
      <c r="D38" s="20" t="s">
        <v>2565</v>
      </c>
      <c r="E38" s="16" t="s">
        <v>2566</v>
      </c>
      <c r="F38" s="25" t="s">
        <v>2567</v>
      </c>
      <c r="G38" s="3"/>
    </row>
    <row r="39" spans="1:7" ht="38">
      <c r="A39" s="81"/>
      <c r="B39" s="31" t="s">
        <v>8</v>
      </c>
      <c r="C39" s="32" t="s">
        <v>1655</v>
      </c>
      <c r="D39" s="16" t="s">
        <v>2568</v>
      </c>
      <c r="E39" s="16" t="s">
        <v>2569</v>
      </c>
      <c r="F39" s="25" t="s">
        <v>3702</v>
      </c>
      <c r="G39" s="3"/>
    </row>
    <row r="40" spans="1:7">
      <c r="A40" s="81"/>
      <c r="B40" s="31" t="s">
        <v>8</v>
      </c>
      <c r="C40" s="36" t="s">
        <v>1655</v>
      </c>
      <c r="D40" s="20" t="s">
        <v>2570</v>
      </c>
      <c r="E40" s="20" t="s">
        <v>2571</v>
      </c>
      <c r="F40" s="25" t="s">
        <v>2572</v>
      </c>
      <c r="G40" s="3"/>
    </row>
    <row r="41" spans="1:7">
      <c r="A41" s="81"/>
      <c r="B41" s="31" t="s">
        <v>8</v>
      </c>
      <c r="C41" s="32" t="s">
        <v>1906</v>
      </c>
      <c r="D41" s="16" t="s">
        <v>2573</v>
      </c>
      <c r="E41" s="16" t="s">
        <v>3416</v>
      </c>
      <c r="F41" s="25" t="s">
        <v>2574</v>
      </c>
      <c r="G41" s="3"/>
    </row>
    <row r="42" spans="1:7">
      <c r="A42" s="81"/>
      <c r="B42" s="31" t="s">
        <v>8</v>
      </c>
      <c r="C42" s="32" t="s">
        <v>1908</v>
      </c>
      <c r="D42" s="16" t="s">
        <v>2575</v>
      </c>
      <c r="E42" s="16" t="s">
        <v>3417</v>
      </c>
      <c r="F42" s="25" t="s">
        <v>2576</v>
      </c>
      <c r="G42" s="3"/>
    </row>
    <row r="43" spans="1:7">
      <c r="A43" s="81"/>
      <c r="B43" s="31" t="s">
        <v>8</v>
      </c>
      <c r="C43" s="32" t="s">
        <v>1661</v>
      </c>
      <c r="D43" s="16" t="s">
        <v>2577</v>
      </c>
      <c r="E43" s="16" t="s">
        <v>3453</v>
      </c>
      <c r="F43" s="25" t="s">
        <v>2578</v>
      </c>
      <c r="G43" s="3"/>
    </row>
    <row r="44" spans="1:7">
      <c r="A44" s="81"/>
      <c r="B44" s="31" t="s">
        <v>8</v>
      </c>
      <c r="C44" s="32" t="s">
        <v>1661</v>
      </c>
      <c r="D44" s="16" t="s">
        <v>1762</v>
      </c>
      <c r="E44" s="16" t="s">
        <v>1763</v>
      </c>
      <c r="F44" s="25" t="s">
        <v>3703</v>
      </c>
      <c r="G44" s="3"/>
    </row>
    <row r="45" spans="1:7">
      <c r="A45" s="81"/>
      <c r="B45" s="31" t="s">
        <v>8</v>
      </c>
      <c r="C45" s="32" t="s">
        <v>1661</v>
      </c>
      <c r="D45" s="20" t="s">
        <v>3758</v>
      </c>
      <c r="E45" s="16" t="s">
        <v>3418</v>
      </c>
      <c r="F45" s="25" t="str">
        <f ca="1">IFERROR(__xludf.DUMMYFUNCTION("GOOGLETRANSLATE(E354, ""ja"",""en"")"),"protein")</f>
        <v>protein</v>
      </c>
      <c r="G45" s="3"/>
    </row>
    <row r="46" spans="1:7">
      <c r="A46" s="81"/>
      <c r="B46" s="31" t="s">
        <v>8</v>
      </c>
      <c r="C46" s="32" t="s">
        <v>1909</v>
      </c>
      <c r="D46" s="20" t="s">
        <v>2580</v>
      </c>
      <c r="E46" s="16" t="s">
        <v>3419</v>
      </c>
      <c r="F46" s="25" t="str">
        <f ca="1">IFERROR(__xludf.DUMMYFUNCTION("GOOGLETRANSLATE(E466, ""ja"",""en"")"),"abundant")</f>
        <v>abundant</v>
      </c>
      <c r="G46" s="3"/>
    </row>
    <row r="47" spans="1:7">
      <c r="A47" s="81"/>
      <c r="B47" s="31" t="s">
        <v>8</v>
      </c>
      <c r="C47" s="32" t="s">
        <v>1666</v>
      </c>
      <c r="D47" s="16" t="s">
        <v>2581</v>
      </c>
      <c r="E47" s="16" t="s">
        <v>3420</v>
      </c>
      <c r="F47" s="25" t="s">
        <v>3704</v>
      </c>
      <c r="G47" s="3"/>
    </row>
    <row r="48" spans="1:7">
      <c r="A48" s="81"/>
      <c r="B48" s="31" t="s">
        <v>8</v>
      </c>
      <c r="C48" s="32" t="s">
        <v>1671</v>
      </c>
      <c r="D48" s="16" t="s">
        <v>2582</v>
      </c>
      <c r="E48" s="16" t="s">
        <v>3421</v>
      </c>
      <c r="F48" s="25" t="str">
        <f ca="1">IFERROR(__xludf.DUMMYFUNCTION("GOOGLETRANSLATE(E391, ""ja"",""en"")"),"vitamin")</f>
        <v>vitamin</v>
      </c>
      <c r="G48" s="3"/>
    </row>
    <row r="49" spans="1:7">
      <c r="A49" s="81"/>
      <c r="B49" s="31" t="s">
        <v>8</v>
      </c>
      <c r="C49" s="32" t="s">
        <v>1671</v>
      </c>
      <c r="D49" s="20" t="s">
        <v>2583</v>
      </c>
      <c r="E49" s="20" t="s">
        <v>2584</v>
      </c>
      <c r="F49" s="25" t="s">
        <v>3705</v>
      </c>
      <c r="G49" s="3"/>
    </row>
    <row r="50" spans="1:7">
      <c r="A50" s="81"/>
      <c r="B50" s="31" t="s">
        <v>8</v>
      </c>
      <c r="C50" s="32" t="s">
        <v>1671</v>
      </c>
      <c r="D50" s="16" t="s">
        <v>2585</v>
      </c>
      <c r="E50" s="16" t="s">
        <v>3454</v>
      </c>
      <c r="F50" s="20" t="s">
        <v>2586</v>
      </c>
      <c r="G50" s="3"/>
    </row>
    <row r="51" spans="1:7">
      <c r="A51" s="81"/>
      <c r="B51" s="31" t="s">
        <v>8</v>
      </c>
      <c r="C51" s="32" t="s">
        <v>1917</v>
      </c>
      <c r="D51" s="16" t="s">
        <v>2587</v>
      </c>
      <c r="E51" s="16" t="s">
        <v>3422</v>
      </c>
      <c r="F51" s="25" t="s">
        <v>2588</v>
      </c>
      <c r="G51" s="4"/>
    </row>
    <row r="52" spans="1:7">
      <c r="A52" s="81"/>
      <c r="B52" s="31" t="s">
        <v>8</v>
      </c>
      <c r="C52" s="32" t="s">
        <v>1740</v>
      </c>
      <c r="D52" s="20" t="s">
        <v>2589</v>
      </c>
      <c r="E52" s="20" t="s">
        <v>2590</v>
      </c>
      <c r="F52" s="25" t="str">
        <f ca="1">IFERROR(__xludf.DUMMYFUNCTION("GOOGLETRANSLATE(E392, ""ja"",""en"")"),"to enhance")</f>
        <v>to enhance</v>
      </c>
      <c r="G52" s="3"/>
    </row>
    <row r="53" spans="1:7">
      <c r="A53" s="81"/>
      <c r="B53" s="31" t="s">
        <v>8</v>
      </c>
      <c r="C53" s="32" t="s">
        <v>1740</v>
      </c>
      <c r="D53" s="16" t="s">
        <v>2034</v>
      </c>
      <c r="E53" s="16" t="s">
        <v>3450</v>
      </c>
      <c r="F53" s="25" t="str">
        <f ca="1">IFERROR(__xludf.DUMMYFUNCTION("GOOGLETRANSLATE(E393, ""ja"",""en"")"),"effect")</f>
        <v>effect</v>
      </c>
      <c r="G53" s="3"/>
    </row>
    <row r="54" spans="1:7">
      <c r="A54" s="81"/>
      <c r="B54" s="31" t="s">
        <v>8</v>
      </c>
      <c r="C54" s="32" t="s">
        <v>1740</v>
      </c>
      <c r="D54" s="16" t="s">
        <v>2591</v>
      </c>
      <c r="E54" s="16" t="s">
        <v>2592</v>
      </c>
      <c r="F54" s="20" t="s">
        <v>2593</v>
      </c>
      <c r="G54" s="3"/>
    </row>
    <row r="55" spans="1:7">
      <c r="A55" s="81"/>
      <c r="B55" s="31" t="s">
        <v>8</v>
      </c>
      <c r="C55" s="32" t="s">
        <v>1740</v>
      </c>
      <c r="D55" s="16" t="s">
        <v>2594</v>
      </c>
      <c r="E55" s="16" t="s">
        <v>3423</v>
      </c>
      <c r="F55" s="25" t="s">
        <v>2595</v>
      </c>
      <c r="G55" s="3"/>
    </row>
    <row r="56" spans="1:7">
      <c r="A56" s="81"/>
      <c r="B56" s="31" t="s">
        <v>8</v>
      </c>
      <c r="C56" s="36" t="s">
        <v>1673</v>
      </c>
      <c r="D56" s="20" t="s">
        <v>2596</v>
      </c>
      <c r="E56" s="20" t="s">
        <v>2597</v>
      </c>
      <c r="F56" s="25" t="s">
        <v>2598</v>
      </c>
      <c r="G56" s="3"/>
    </row>
    <row r="57" spans="1:7">
      <c r="A57" s="81"/>
      <c r="B57" s="31" t="s">
        <v>8</v>
      </c>
      <c r="C57" s="32" t="s">
        <v>1673</v>
      </c>
      <c r="D57" s="16" t="s">
        <v>2599</v>
      </c>
      <c r="E57" s="16" t="s">
        <v>3424</v>
      </c>
      <c r="F57" s="25" t="str">
        <f ca="1">IFERROR(__xludf.DUMMYFUNCTION("GOOGLETRANSLATE(E363, ""ja"",""en"")"),"protein")</f>
        <v>protein</v>
      </c>
      <c r="G57" s="4"/>
    </row>
    <row r="58" spans="1:7">
      <c r="A58" s="81"/>
      <c r="B58" s="31" t="s">
        <v>8</v>
      </c>
      <c r="C58" s="36" t="s">
        <v>1675</v>
      </c>
      <c r="D58" s="16" t="s">
        <v>678</v>
      </c>
      <c r="E58" s="16" t="s">
        <v>3425</v>
      </c>
      <c r="F58" s="20" t="s">
        <v>2600</v>
      </c>
      <c r="G58" s="4"/>
    </row>
    <row r="59" spans="1:7">
      <c r="A59" s="81"/>
      <c r="B59" s="31" t="s">
        <v>2254</v>
      </c>
      <c r="C59" s="32" t="s">
        <v>2176</v>
      </c>
      <c r="D59" s="16" t="s">
        <v>1869</v>
      </c>
      <c r="E59" s="16" t="s">
        <v>2480</v>
      </c>
      <c r="F59" s="25" t="str">
        <f ca="1">IFERROR(__xludf.DUMMYFUNCTION("GOOGLETRANSLATE(E404, ""ja"",""en"")"),"food")</f>
        <v>food</v>
      </c>
      <c r="G59" s="4"/>
    </row>
    <row r="60" spans="1:7">
      <c r="A60" s="81"/>
      <c r="B60" s="31" t="s">
        <v>2254</v>
      </c>
      <c r="C60" s="32" t="s">
        <v>2176</v>
      </c>
      <c r="D60" s="16" t="s">
        <v>2601</v>
      </c>
      <c r="E60" s="16" t="s">
        <v>3426</v>
      </c>
      <c r="F60" s="25" t="s">
        <v>3706</v>
      </c>
      <c r="G60" s="4"/>
    </row>
    <row r="61" spans="1:7">
      <c r="A61" s="81"/>
      <c r="B61" s="31" t="s">
        <v>83</v>
      </c>
      <c r="C61" s="32" t="s">
        <v>1872</v>
      </c>
      <c r="D61" s="16" t="s">
        <v>2577</v>
      </c>
      <c r="E61" s="16" t="s">
        <v>3427</v>
      </c>
      <c r="F61" s="25" t="s">
        <v>2578</v>
      </c>
      <c r="G61" s="3"/>
    </row>
    <row r="62" spans="1:7">
      <c r="A62" s="81"/>
      <c r="B62" s="31" t="s">
        <v>83</v>
      </c>
      <c r="C62" s="32" t="s">
        <v>1872</v>
      </c>
      <c r="D62" s="20" t="s">
        <v>2602</v>
      </c>
      <c r="E62" s="20" t="s">
        <v>2603</v>
      </c>
      <c r="F62" s="25" t="s">
        <v>2604</v>
      </c>
      <c r="G62" s="48"/>
    </row>
    <row r="63" spans="1:7">
      <c r="A63" s="81"/>
      <c r="B63" s="31" t="s">
        <v>83</v>
      </c>
      <c r="C63" s="32" t="s">
        <v>1872</v>
      </c>
      <c r="D63" s="16" t="s">
        <v>2605</v>
      </c>
      <c r="E63" s="16" t="s">
        <v>2606</v>
      </c>
      <c r="F63" s="25" t="s">
        <v>2607</v>
      </c>
      <c r="G63" s="48"/>
    </row>
    <row r="64" spans="1:7">
      <c r="A64" s="81"/>
      <c r="B64" s="31" t="s">
        <v>83</v>
      </c>
      <c r="C64" s="32" t="s">
        <v>1872</v>
      </c>
      <c r="D64" s="20" t="s">
        <v>2608</v>
      </c>
      <c r="E64" s="16" t="s">
        <v>3428</v>
      </c>
      <c r="F64" s="20" t="s">
        <v>2607</v>
      </c>
      <c r="G64" s="3"/>
    </row>
    <row r="65" spans="1:7">
      <c r="A65" s="81"/>
      <c r="B65" s="31" t="s">
        <v>83</v>
      </c>
      <c r="C65" s="32" t="s">
        <v>1937</v>
      </c>
      <c r="D65" s="16" t="s">
        <v>2609</v>
      </c>
      <c r="E65" s="16" t="s">
        <v>2610</v>
      </c>
      <c r="F65" s="25" t="s">
        <v>2611</v>
      </c>
      <c r="G65" s="3"/>
    </row>
    <row r="66" spans="1:7">
      <c r="A66" s="81"/>
      <c r="B66" s="31" t="s">
        <v>83</v>
      </c>
      <c r="C66" s="32" t="s">
        <v>1619</v>
      </c>
      <c r="D66" s="16" t="s">
        <v>2612</v>
      </c>
      <c r="E66" s="16" t="s">
        <v>2613</v>
      </c>
      <c r="F66" s="25" t="str">
        <f ca="1">IFERROR(__xludf.DUMMYFUNCTION("GOOGLETRANSLATE(E371, ""ja"",""en"")"),"health")</f>
        <v>health</v>
      </c>
      <c r="G66" s="3"/>
    </row>
    <row r="67" spans="1:7">
      <c r="A67" s="81"/>
      <c r="B67" s="31" t="s">
        <v>83</v>
      </c>
      <c r="C67" s="32" t="s">
        <v>1619</v>
      </c>
      <c r="D67" s="16" t="s">
        <v>2614</v>
      </c>
      <c r="E67" s="16" t="s">
        <v>2512</v>
      </c>
      <c r="F67" s="25" t="s">
        <v>2513</v>
      </c>
      <c r="G67" s="48"/>
    </row>
    <row r="68" spans="1:7">
      <c r="A68" s="81"/>
      <c r="B68" s="31" t="s">
        <v>83</v>
      </c>
      <c r="C68" s="32" t="s">
        <v>1619</v>
      </c>
      <c r="D68" s="16" t="s">
        <v>3429</v>
      </c>
      <c r="E68" s="16" t="s">
        <v>3429</v>
      </c>
      <c r="F68" s="25" t="str">
        <f ca="1">IFERROR(__xludf.DUMMYFUNCTION("GOOGLETRANSLATE(E463, ""ja"",""en"")"),"with")</f>
        <v>with</v>
      </c>
      <c r="G68" s="3"/>
    </row>
    <row r="69" spans="1:7">
      <c r="A69" s="81"/>
      <c r="B69" s="31" t="s">
        <v>83</v>
      </c>
      <c r="C69" s="32" t="s">
        <v>1619</v>
      </c>
      <c r="D69" s="16" t="s">
        <v>2615</v>
      </c>
      <c r="E69" s="16" t="s">
        <v>3430</v>
      </c>
      <c r="F69" s="25" t="s">
        <v>2616</v>
      </c>
      <c r="G69" s="3"/>
    </row>
    <row r="70" spans="1:7">
      <c r="A70" s="81"/>
      <c r="B70" s="31" t="s">
        <v>83</v>
      </c>
      <c r="C70" s="32" t="s">
        <v>1619</v>
      </c>
      <c r="D70" s="16" t="s">
        <v>2617</v>
      </c>
      <c r="E70" s="16" t="s">
        <v>3431</v>
      </c>
      <c r="F70" s="25" t="str">
        <f ca="1">IFERROR(__xludf.DUMMYFUNCTION("GOOGLETRANSLATE(E584, ""ja"",""en"")"),"origin")</f>
        <v>origin</v>
      </c>
      <c r="G70" s="3"/>
    </row>
    <row r="71" spans="1:7">
      <c r="A71" s="81"/>
      <c r="B71" s="31" t="s">
        <v>83</v>
      </c>
      <c r="C71" s="32" t="s">
        <v>1619</v>
      </c>
      <c r="D71" s="16" t="s">
        <v>2618</v>
      </c>
      <c r="E71" s="16" t="s">
        <v>2579</v>
      </c>
      <c r="F71" s="25" t="str">
        <f ca="1">IFERROR(__xludf.DUMMYFUNCTION("GOOGLETRANSLATE(E401, ""ja"",""en"")"),"protein")</f>
        <v>protein</v>
      </c>
      <c r="G71" s="3"/>
    </row>
    <row r="72" spans="1:7">
      <c r="A72" s="81"/>
      <c r="B72" s="31" t="s">
        <v>83</v>
      </c>
      <c r="C72" s="32" t="s">
        <v>1876</v>
      </c>
      <c r="D72" s="20" t="s">
        <v>2619</v>
      </c>
      <c r="E72" s="20" t="s">
        <v>2620</v>
      </c>
      <c r="F72" s="25" t="s">
        <v>2621</v>
      </c>
      <c r="G72" s="3"/>
    </row>
    <row r="73" spans="1:7">
      <c r="A73" s="81"/>
      <c r="B73" s="31" t="s">
        <v>83</v>
      </c>
      <c r="C73" s="32" t="s">
        <v>1621</v>
      </c>
      <c r="D73" s="16" t="s">
        <v>2622</v>
      </c>
      <c r="E73" s="16" t="s">
        <v>3432</v>
      </c>
      <c r="F73" s="25" t="str">
        <f ca="1">IFERROR(__xludf.DUMMYFUNCTION("GOOGLETRANSLATE(E462, ""ja"",""en"")"),"food")</f>
        <v>food</v>
      </c>
      <c r="G73" s="5"/>
    </row>
    <row r="74" spans="1:7">
      <c r="A74" s="81"/>
      <c r="B74" s="31" t="s">
        <v>83</v>
      </c>
      <c r="C74" s="32" t="s">
        <v>1621</v>
      </c>
      <c r="D74" s="16" t="s">
        <v>2623</v>
      </c>
      <c r="E74" s="16" t="s">
        <v>2624</v>
      </c>
      <c r="F74" s="25" t="str">
        <f ca="1">IFERROR(__xludf.DUMMYFUNCTION("GOOGLETRANSLATE(E388, ""ja"",""en"")"),"abundant")</f>
        <v>abundant</v>
      </c>
      <c r="G74" s="3"/>
    </row>
    <row r="75" spans="1:7">
      <c r="A75" s="81"/>
      <c r="B75" s="31" t="s">
        <v>83</v>
      </c>
      <c r="C75" s="32" t="s">
        <v>1621</v>
      </c>
      <c r="D75" s="16" t="s">
        <v>2625</v>
      </c>
      <c r="E75" s="16" t="s">
        <v>2626</v>
      </c>
      <c r="F75" s="25" t="str">
        <f ca="1">IFERROR(__xludf.DUMMYFUNCTION("GOOGLETRANSLATE(E467, ""ja"",""en"")"),"to incorporate")</f>
        <v>to incorporate</v>
      </c>
      <c r="G75" s="3"/>
    </row>
    <row r="76" spans="1:7">
      <c r="A76" s="81"/>
      <c r="B76" s="31" t="s">
        <v>83</v>
      </c>
      <c r="C76" s="32" t="s">
        <v>1945</v>
      </c>
      <c r="D76" s="16" t="s">
        <v>2627</v>
      </c>
      <c r="E76" s="16" t="s">
        <v>3433</v>
      </c>
      <c r="F76" s="25" t="str">
        <f ca="1">IFERROR(__xludf.DUMMYFUNCTION("GOOGLETRANSLATE(E402, ""ja"",""en"")"),"Buddhism")</f>
        <v>Buddhism</v>
      </c>
      <c r="G76" s="3"/>
    </row>
    <row r="77" spans="1:7">
      <c r="A77" s="81"/>
      <c r="B77" s="31" t="s">
        <v>83</v>
      </c>
      <c r="C77" s="32" t="s">
        <v>1626</v>
      </c>
      <c r="D77" s="16" t="s">
        <v>2628</v>
      </c>
      <c r="E77" s="16" t="s">
        <v>3434</v>
      </c>
      <c r="F77" s="25" t="str">
        <f ca="1">IFERROR(__xludf.DUMMYFUNCTION("GOOGLETRANSLATE(E403, ""ja"",""en"")"),"monk")</f>
        <v>monk</v>
      </c>
      <c r="G77" s="3"/>
    </row>
    <row r="78" spans="1:7">
      <c r="A78" s="81"/>
      <c r="B78" s="31" t="s">
        <v>83</v>
      </c>
      <c r="C78" s="32" t="s">
        <v>1626</v>
      </c>
      <c r="D78" s="16" t="s">
        <v>2629</v>
      </c>
      <c r="E78" s="16" t="s">
        <v>3435</v>
      </c>
      <c r="F78" s="25" t="s">
        <v>3707</v>
      </c>
      <c r="G78" s="3"/>
    </row>
    <row r="79" spans="1:7">
      <c r="A79" s="81"/>
      <c r="B79" s="31" t="s">
        <v>83</v>
      </c>
      <c r="C79" s="32" t="s">
        <v>1626</v>
      </c>
      <c r="D79" s="20" t="s">
        <v>2630</v>
      </c>
      <c r="E79" s="20" t="s">
        <v>2631</v>
      </c>
      <c r="F79" s="20" t="s">
        <v>2632</v>
      </c>
      <c r="G79" s="3"/>
    </row>
    <row r="80" spans="1:7">
      <c r="A80" s="81"/>
      <c r="B80" s="31" t="s">
        <v>83</v>
      </c>
      <c r="C80" s="32" t="s">
        <v>1626</v>
      </c>
      <c r="D80" s="16" t="s">
        <v>2633</v>
      </c>
      <c r="E80" s="16" t="s">
        <v>2634</v>
      </c>
      <c r="F80" s="25" t="s">
        <v>3708</v>
      </c>
      <c r="G80" s="3"/>
    </row>
    <row r="81" spans="1:7">
      <c r="A81" s="81"/>
      <c r="B81" s="31" t="s">
        <v>83</v>
      </c>
      <c r="C81" s="32" t="s">
        <v>1629</v>
      </c>
      <c r="D81" s="16" t="s">
        <v>2635</v>
      </c>
      <c r="E81" s="16" t="s">
        <v>3436</v>
      </c>
      <c r="F81" s="25" t="str">
        <f ca="1">IFERROR(__xludf.DUMMYFUNCTION("GOOGLETRANSLATE(E469, ""ja"",""en"")"),"beans")</f>
        <v>beans</v>
      </c>
      <c r="G81" s="3"/>
    </row>
    <row r="82" spans="1:7">
      <c r="A82" s="81"/>
      <c r="B82" s="31" t="s">
        <v>83</v>
      </c>
      <c r="C82" s="32" t="s">
        <v>1629</v>
      </c>
      <c r="D82" s="16" t="s">
        <v>2636</v>
      </c>
      <c r="E82" s="16" t="s">
        <v>3437</v>
      </c>
      <c r="F82" s="25" t="str">
        <f ca="1">IFERROR(__xludf.DUMMYFUNCTION("GOOGLETRANSLATE(E406, ""ja"",""en"")"),"grain")</f>
        <v>grain</v>
      </c>
      <c r="G82" s="3"/>
    </row>
    <row r="83" spans="1:7">
      <c r="A83" s="81"/>
      <c r="B83" s="31" t="s">
        <v>83</v>
      </c>
      <c r="C83" s="32" t="s">
        <v>1629</v>
      </c>
      <c r="D83" s="20" t="s">
        <v>2637</v>
      </c>
      <c r="E83" s="20" t="s">
        <v>2638</v>
      </c>
      <c r="F83" s="25" t="s">
        <v>3641</v>
      </c>
      <c r="G83" s="4"/>
    </row>
    <row r="84" spans="1:7">
      <c r="A84" s="81"/>
      <c r="B84" s="31" t="s">
        <v>83</v>
      </c>
      <c r="C84" s="32" t="s">
        <v>1629</v>
      </c>
      <c r="D84" s="16" t="s">
        <v>2639</v>
      </c>
      <c r="E84" s="16" t="s">
        <v>2640</v>
      </c>
      <c r="F84" s="25" t="str">
        <f ca="1">IFERROR(__xludf.DUMMYFUNCTION("GOOGLETRANSLATE(E103, ""ja"",""en"")"),"to cook")</f>
        <v>to cook</v>
      </c>
      <c r="G84" s="4"/>
    </row>
    <row r="85" spans="1:7">
      <c r="A85" s="81"/>
      <c r="B85" s="31" t="s">
        <v>83</v>
      </c>
      <c r="C85" s="32" t="s">
        <v>1891</v>
      </c>
      <c r="D85" s="16" t="s">
        <v>2641</v>
      </c>
      <c r="E85" s="16" t="s">
        <v>2642</v>
      </c>
      <c r="F85" s="25" t="s">
        <v>2643</v>
      </c>
      <c r="G85" s="48"/>
    </row>
    <row r="86" spans="1:7">
      <c r="A86" s="81"/>
      <c r="B86" s="31" t="s">
        <v>83</v>
      </c>
      <c r="C86" s="32" t="s">
        <v>1633</v>
      </c>
      <c r="D86" s="16" t="s">
        <v>2644</v>
      </c>
      <c r="E86" s="16" t="s">
        <v>3449</v>
      </c>
      <c r="F86" s="25" t="s">
        <v>2645</v>
      </c>
      <c r="G86" s="48"/>
    </row>
    <row r="87" spans="1:7">
      <c r="A87" s="81"/>
      <c r="B87" s="31" t="s">
        <v>83</v>
      </c>
      <c r="C87" s="32" t="s">
        <v>1893</v>
      </c>
      <c r="D87" s="16" t="s">
        <v>2646</v>
      </c>
      <c r="E87" s="16" t="s">
        <v>2647</v>
      </c>
      <c r="F87" s="20" t="s">
        <v>2648</v>
      </c>
      <c r="G87" s="3"/>
    </row>
    <row r="88" spans="1:7">
      <c r="A88" s="81"/>
      <c r="B88" s="31" t="s">
        <v>83</v>
      </c>
      <c r="C88" s="32" t="s">
        <v>1638</v>
      </c>
      <c r="D88" s="16" t="s">
        <v>1912</v>
      </c>
      <c r="E88" s="16" t="s">
        <v>2649</v>
      </c>
      <c r="F88" s="20" t="s">
        <v>1913</v>
      </c>
      <c r="G88" s="3"/>
    </row>
    <row r="89" spans="1:7">
      <c r="A89" s="81"/>
      <c r="B89" s="31" t="s">
        <v>83</v>
      </c>
      <c r="C89" s="36" t="s">
        <v>1638</v>
      </c>
      <c r="D89" s="20" t="s">
        <v>2650</v>
      </c>
      <c r="E89" s="20" t="s">
        <v>2651</v>
      </c>
      <c r="F89" s="20" t="s">
        <v>2652</v>
      </c>
      <c r="G89" s="3"/>
    </row>
    <row r="90" spans="1:7">
      <c r="A90" s="81"/>
      <c r="B90" s="31" t="s">
        <v>83</v>
      </c>
      <c r="C90" s="32" t="s">
        <v>1640</v>
      </c>
      <c r="D90" s="20" t="s">
        <v>2653</v>
      </c>
      <c r="E90" s="16" t="s">
        <v>3438</v>
      </c>
      <c r="F90" s="25" t="s">
        <v>2654</v>
      </c>
      <c r="G90" s="3"/>
    </row>
    <row r="91" spans="1:7">
      <c r="A91" s="81"/>
      <c r="B91" s="31" t="s">
        <v>83</v>
      </c>
      <c r="C91" s="32" t="s">
        <v>1640</v>
      </c>
      <c r="D91" s="16" t="s">
        <v>2655</v>
      </c>
      <c r="E91" s="16" t="s">
        <v>2656</v>
      </c>
      <c r="F91" s="25" t="str">
        <f ca="1">IFERROR(__xludf.DUMMYFUNCTION("GOOGLETRANSLATE(E475, ""ja"",""en"")"),"interest")</f>
        <v>interest</v>
      </c>
      <c r="G91" s="3"/>
    </row>
    <row r="92" spans="1:7">
      <c r="A92" s="81"/>
      <c r="B92" s="31" t="s">
        <v>83</v>
      </c>
      <c r="C92" s="36" t="s">
        <v>1645</v>
      </c>
      <c r="D92" s="20" t="s">
        <v>2657</v>
      </c>
      <c r="E92" s="20" t="s">
        <v>2658</v>
      </c>
      <c r="F92" s="25" t="s">
        <v>2659</v>
      </c>
      <c r="G92" s="3"/>
    </row>
    <row r="93" spans="1:7" ht="38">
      <c r="A93" s="81"/>
      <c r="B93" s="31" t="s">
        <v>83</v>
      </c>
      <c r="C93" s="32" t="s">
        <v>1975</v>
      </c>
      <c r="D93" s="16" t="s">
        <v>2660</v>
      </c>
      <c r="E93" s="16" t="s">
        <v>2661</v>
      </c>
      <c r="F93" s="25" t="s">
        <v>2662</v>
      </c>
      <c r="G93" s="4"/>
    </row>
    <row r="94" spans="1:7">
      <c r="A94" s="81"/>
      <c r="B94" s="31" t="s">
        <v>83</v>
      </c>
      <c r="C94" s="36" t="s">
        <v>1901</v>
      </c>
      <c r="D94" s="16" t="s">
        <v>2321</v>
      </c>
      <c r="E94" s="16" t="s">
        <v>1783</v>
      </c>
      <c r="F94" s="25" t="s">
        <v>3621</v>
      </c>
      <c r="G94" s="4"/>
    </row>
    <row r="95" spans="1:7">
      <c r="A95" s="81"/>
      <c r="B95" s="31" t="s">
        <v>83</v>
      </c>
      <c r="C95" s="32" t="s">
        <v>1901</v>
      </c>
      <c r="D95" s="16" t="s">
        <v>2663</v>
      </c>
      <c r="E95" s="16" t="s">
        <v>2664</v>
      </c>
      <c r="F95" s="25" t="str">
        <f ca="1">IFERROR(__xludf.DUMMYFUNCTION("GOOGLETRANSLATE(E450, ""ja"",""en"")"),"lack")</f>
        <v>lack</v>
      </c>
      <c r="G95" s="4"/>
    </row>
    <row r="96" spans="1:7">
      <c r="A96" s="81"/>
      <c r="B96" s="31" t="s">
        <v>83</v>
      </c>
      <c r="C96" s="32" t="s">
        <v>1655</v>
      </c>
      <c r="D96" s="20" t="s">
        <v>2665</v>
      </c>
      <c r="E96" s="24" t="s">
        <v>2666</v>
      </c>
      <c r="F96" s="25" t="s">
        <v>2667</v>
      </c>
      <c r="G96" s="48"/>
    </row>
    <row r="97" spans="1:7">
      <c r="A97" s="81"/>
      <c r="B97" s="31" t="s">
        <v>83</v>
      </c>
      <c r="C97" s="32" t="s">
        <v>1981</v>
      </c>
      <c r="D97" s="16" t="s">
        <v>2668</v>
      </c>
      <c r="E97" s="16" t="s">
        <v>3439</v>
      </c>
      <c r="F97" s="25" t="s">
        <v>3690</v>
      </c>
      <c r="G97" s="3"/>
    </row>
    <row r="98" spans="1:7">
      <c r="A98" s="81"/>
      <c r="B98" s="31" t="s">
        <v>83</v>
      </c>
      <c r="C98" s="32" t="s">
        <v>1657</v>
      </c>
      <c r="D98" s="16" t="s">
        <v>2669</v>
      </c>
      <c r="E98" s="16" t="s">
        <v>2670</v>
      </c>
      <c r="F98" s="25" t="s">
        <v>3699</v>
      </c>
      <c r="G98" s="3"/>
    </row>
    <row r="99" spans="1:7">
      <c r="A99" s="81"/>
      <c r="B99" s="31" t="s">
        <v>83</v>
      </c>
      <c r="C99" s="32" t="s">
        <v>1657</v>
      </c>
      <c r="D99" s="16" t="s">
        <v>2671</v>
      </c>
      <c r="E99" s="16" t="s">
        <v>3440</v>
      </c>
      <c r="F99" s="25" t="str">
        <f ca="1">IFERROR(__xludf.DUMMYFUNCTION("GOOGLETRANSLATE(E415, ""ja"",""en"")"),"vegetarian")</f>
        <v>vegetarian</v>
      </c>
      <c r="G99" s="3"/>
    </row>
    <row r="100" spans="1:7">
      <c r="A100" s="81"/>
      <c r="B100" s="31" t="s">
        <v>83</v>
      </c>
      <c r="C100" s="32" t="s">
        <v>1657</v>
      </c>
      <c r="D100" s="16" t="s">
        <v>2672</v>
      </c>
      <c r="E100" s="16" t="s">
        <v>3444</v>
      </c>
      <c r="F100" s="25" t="str">
        <f ca="1">IFERROR(__xludf.DUMMYFUNCTION("GOOGLETRANSLATE(E416, ""ja"",""en"")"),"vegan")</f>
        <v>vegan</v>
      </c>
      <c r="G100" s="3"/>
    </row>
    <row r="101" spans="1:7">
      <c r="A101" s="81"/>
      <c r="B101" s="31" t="s">
        <v>83</v>
      </c>
      <c r="C101" s="32" t="s">
        <v>1657</v>
      </c>
      <c r="D101" s="16" t="s">
        <v>2673</v>
      </c>
      <c r="E101" s="16" t="s">
        <v>3441</v>
      </c>
      <c r="F101" s="25" t="s">
        <v>2674</v>
      </c>
      <c r="G101" s="3"/>
    </row>
    <row r="102" spans="1:7">
      <c r="A102" s="81"/>
      <c r="B102" s="31" t="s">
        <v>83</v>
      </c>
      <c r="C102" s="32" t="s">
        <v>1657</v>
      </c>
      <c r="D102" s="16" t="s">
        <v>2675</v>
      </c>
      <c r="E102" s="16" t="s">
        <v>3442</v>
      </c>
      <c r="F102" s="25" t="s">
        <v>3709</v>
      </c>
      <c r="G102" s="3"/>
    </row>
    <row r="103" spans="1:7">
      <c r="A103" s="81"/>
      <c r="B103" s="31" t="s">
        <v>83</v>
      </c>
      <c r="C103" s="36" t="s">
        <v>1658</v>
      </c>
      <c r="D103" s="16" t="s">
        <v>2676</v>
      </c>
      <c r="E103" s="16" t="s">
        <v>3443</v>
      </c>
      <c r="F103" s="25" t="str">
        <f ca="1">IFERROR(__xludf.DUMMYFUNCTION("GOOGLETRANSLATE(E482, ""ja"",""en"")"),"market")</f>
        <v>market</v>
      </c>
      <c r="G103" s="4"/>
    </row>
    <row r="104" spans="1:7">
      <c r="A104" s="81"/>
      <c r="B104" s="31" t="s">
        <v>83</v>
      </c>
      <c r="C104" s="32" t="s">
        <v>1904</v>
      </c>
      <c r="D104" s="20" t="s">
        <v>2677</v>
      </c>
      <c r="E104" s="20" t="s">
        <v>2678</v>
      </c>
      <c r="F104" s="25" t="str">
        <f ca="1">IFERROR(__xludf.DUMMYFUNCTION("GOOGLETRANSLATE(E483, ""ja"",""en"")"),"to spread")</f>
        <v>to spread</v>
      </c>
      <c r="G104" s="3"/>
    </row>
    <row r="105" spans="1:7">
      <c r="A105" s="81"/>
      <c r="B105" s="31" t="s">
        <v>83</v>
      </c>
      <c r="C105" s="32" t="s">
        <v>1658</v>
      </c>
      <c r="D105" s="16" t="s">
        <v>2679</v>
      </c>
      <c r="E105" s="20" t="s">
        <v>3739</v>
      </c>
      <c r="F105" s="25" t="s">
        <v>2680</v>
      </c>
      <c r="G105" s="4"/>
    </row>
    <row r="106" spans="1:7">
      <c r="A106" s="81"/>
      <c r="B106" s="31" t="s">
        <v>83</v>
      </c>
      <c r="C106" s="32" t="s">
        <v>1906</v>
      </c>
      <c r="D106" s="16" t="s">
        <v>2681</v>
      </c>
      <c r="E106" s="16" t="s">
        <v>2682</v>
      </c>
      <c r="F106" s="25" t="str">
        <f ca="1">IFERROR(__xludf.DUMMYFUNCTION("GOOGLETRANSLATE(E417, ""ja"",""en"")"),"now")</f>
        <v>now</v>
      </c>
      <c r="G106" s="3"/>
    </row>
    <row r="107" spans="1:7">
      <c r="A107" s="81"/>
      <c r="B107" s="31" t="s">
        <v>83</v>
      </c>
      <c r="C107" s="32" t="s">
        <v>1717</v>
      </c>
      <c r="D107" s="16" t="s">
        <v>2012</v>
      </c>
      <c r="E107" s="16" t="s">
        <v>2140</v>
      </c>
      <c r="F107" s="25" t="str">
        <f ca="1">IFERROR(__xludf.DUMMYFUNCTION("GOOGLETRANSLATE(E75, ""ja"",""en"")"),"convenience store")</f>
        <v>convenience store</v>
      </c>
      <c r="G107" s="3"/>
    </row>
    <row r="108" spans="1:7">
      <c r="A108" s="81"/>
      <c r="B108" s="31" t="s">
        <v>83</v>
      </c>
      <c r="C108" s="32" t="s">
        <v>1717</v>
      </c>
      <c r="D108" s="16" t="s">
        <v>2683</v>
      </c>
      <c r="E108" s="16" t="s">
        <v>3455</v>
      </c>
      <c r="F108" s="25" t="str">
        <f ca="1">IFERROR(__xludf.DUMMYFUNCTION("GOOGLETRANSLATE(E532, ""ja"",""en"")"),"package")</f>
        <v>package</v>
      </c>
      <c r="G108" s="3"/>
    </row>
    <row r="109" spans="1:7">
      <c r="A109" s="81"/>
      <c r="B109" s="31" t="s">
        <v>83</v>
      </c>
      <c r="C109" s="36" t="s">
        <v>1661</v>
      </c>
      <c r="D109" s="16" t="s">
        <v>2684</v>
      </c>
      <c r="E109" s="16" t="s">
        <v>3445</v>
      </c>
      <c r="F109" s="25" t="str">
        <f ca="1">IFERROR(__xludf.DUMMYFUNCTION("GOOGLETRANSLATE(E420, ""ja"",""en"")"),"sausage")</f>
        <v>sausage</v>
      </c>
      <c r="G109" s="4"/>
    </row>
    <row r="110" spans="1:7">
      <c r="A110" s="81"/>
      <c r="B110" s="31" t="s">
        <v>83</v>
      </c>
      <c r="C110" s="32" t="s">
        <v>1908</v>
      </c>
      <c r="D110" s="16" t="s">
        <v>2685</v>
      </c>
      <c r="E110" s="16" t="s">
        <v>2686</v>
      </c>
      <c r="F110" s="25" t="str">
        <f ca="1">IFERROR(__xludf.DUMMYFUNCTION("GOOGLETRANSLATE(E452, ""ja"",""en"")"),"to display")</f>
        <v>to display</v>
      </c>
      <c r="G110" s="3"/>
    </row>
    <row r="111" spans="1:7">
      <c r="A111" s="81"/>
      <c r="B111" s="31" t="s">
        <v>83</v>
      </c>
      <c r="C111" s="32" t="s">
        <v>1661</v>
      </c>
      <c r="D111" s="16" t="s">
        <v>2687</v>
      </c>
      <c r="E111" s="16" t="s">
        <v>3446</v>
      </c>
      <c r="F111" s="25" t="str">
        <f ca="1">IFERROR(__xludf.DUMMYFUNCTION("GOOGLETRANSLATE(E421, ""ja"",""en"")"),"fast food")</f>
        <v>fast food</v>
      </c>
      <c r="G111" s="3"/>
    </row>
    <row r="112" spans="1:7">
      <c r="A112" s="81"/>
      <c r="B112" s="31" t="s">
        <v>83</v>
      </c>
      <c r="C112" s="32" t="s">
        <v>1661</v>
      </c>
      <c r="D112" s="16" t="s">
        <v>2688</v>
      </c>
      <c r="E112" s="16" t="s">
        <v>3456</v>
      </c>
      <c r="F112" s="25" t="s">
        <v>2689</v>
      </c>
      <c r="G112" s="4"/>
    </row>
    <row r="113" spans="1:8">
      <c r="A113" s="81"/>
      <c r="B113" s="31" t="s">
        <v>83</v>
      </c>
      <c r="C113" s="32" t="s">
        <v>1661</v>
      </c>
      <c r="D113" s="20" t="s">
        <v>2690</v>
      </c>
      <c r="E113" s="20" t="s">
        <v>2691</v>
      </c>
      <c r="F113" s="25" t="s">
        <v>2692</v>
      </c>
      <c r="G113" s="4"/>
    </row>
    <row r="114" spans="1:8">
      <c r="A114" s="81"/>
      <c r="B114" s="31" t="s">
        <v>83</v>
      </c>
      <c r="C114" s="32" t="s">
        <v>1909</v>
      </c>
      <c r="D114" s="16" t="s">
        <v>2693</v>
      </c>
      <c r="E114" s="16" t="s">
        <v>3447</v>
      </c>
      <c r="F114" s="25" t="str">
        <f ca="1">IFERROR(__xludf.DUMMYFUNCTION("GOOGLETRANSLATE(E423, ""ja"",""en"")"),"burger")</f>
        <v>burger</v>
      </c>
      <c r="G114" s="3"/>
    </row>
    <row r="115" spans="1:8">
      <c r="A115" s="81"/>
      <c r="B115" s="31" t="s">
        <v>83</v>
      </c>
      <c r="C115" s="32" t="s">
        <v>1663</v>
      </c>
      <c r="D115" s="16" t="s">
        <v>2694</v>
      </c>
      <c r="E115" s="16" t="s">
        <v>3448</v>
      </c>
      <c r="F115" s="20" t="s">
        <v>2695</v>
      </c>
      <c r="G115" s="3"/>
    </row>
    <row r="116" spans="1:8">
      <c r="A116" s="81"/>
      <c r="B116" s="31" t="s">
        <v>83</v>
      </c>
      <c r="C116" s="32" t="s">
        <v>1663</v>
      </c>
      <c r="D116" s="20" t="s">
        <v>2696</v>
      </c>
      <c r="E116" s="20" t="s">
        <v>2697</v>
      </c>
      <c r="F116" s="25" t="s">
        <v>2698</v>
      </c>
      <c r="G116" s="3"/>
    </row>
    <row r="117" spans="1:8">
      <c r="A117" s="81"/>
      <c r="B117" s="31" t="s">
        <v>83</v>
      </c>
      <c r="C117" s="32" t="s">
        <v>1663</v>
      </c>
      <c r="D117" s="16" t="s">
        <v>1946</v>
      </c>
      <c r="E117" s="16" t="s">
        <v>2094</v>
      </c>
      <c r="F117" s="25" t="str">
        <f ca="1">IFERROR(__xludf.DUMMYFUNCTION("GOOGLETRANSLATE(E56, ""ja"",""en"")"),"recipe")</f>
        <v>recipe</v>
      </c>
      <c r="G117" s="3"/>
    </row>
    <row r="118" spans="1:8">
      <c r="A118" s="81"/>
      <c r="B118" s="31" t="s">
        <v>83</v>
      </c>
      <c r="C118" s="32" t="s">
        <v>2001</v>
      </c>
      <c r="D118" s="16" t="s">
        <v>1939</v>
      </c>
      <c r="E118" s="16" t="s">
        <v>3457</v>
      </c>
      <c r="F118" s="20" t="s">
        <v>3710</v>
      </c>
      <c r="G118" s="3"/>
    </row>
    <row r="119" spans="1:8">
      <c r="A119" s="81"/>
      <c r="B119" s="31" t="s">
        <v>83</v>
      </c>
      <c r="C119" s="32" t="s">
        <v>1666</v>
      </c>
      <c r="D119" s="20" t="s">
        <v>2209</v>
      </c>
      <c r="E119" s="20" t="s">
        <v>2210</v>
      </c>
      <c r="F119" s="25" t="str">
        <f ca="1">IFERROR(__xludf.DUMMYFUNCTION("GOOGLETRANSLATE(E427, ""ja"",""en"")"),"through")</f>
        <v>through</v>
      </c>
      <c r="G119" s="3"/>
    </row>
    <row r="120" spans="1:8">
      <c r="A120" s="81"/>
      <c r="B120" s="31" t="s">
        <v>83</v>
      </c>
      <c r="C120" s="32" t="s">
        <v>1666</v>
      </c>
      <c r="D120" s="20" t="s">
        <v>2699</v>
      </c>
      <c r="E120" s="20" t="s">
        <v>2700</v>
      </c>
      <c r="F120" s="25" t="s">
        <v>2281</v>
      </c>
      <c r="G120" s="3"/>
    </row>
    <row r="121" spans="1:8">
      <c r="A121" s="81"/>
      <c r="B121" s="31" t="s">
        <v>83</v>
      </c>
      <c r="C121" s="32" t="s">
        <v>1666</v>
      </c>
      <c r="D121" s="16" t="s">
        <v>2701</v>
      </c>
      <c r="E121" s="16" t="s">
        <v>3458</v>
      </c>
      <c r="F121" s="25" t="str">
        <f ca="1">IFERROR(__xludf.DUMMYFUNCTION("GOOGLETRANSLATE(E454, ""ja"",""en"")"),"livestock")</f>
        <v>livestock</v>
      </c>
      <c r="G121" s="3"/>
    </row>
    <row r="122" spans="1:8">
      <c r="A122" s="81"/>
      <c r="B122" s="31" t="s">
        <v>83</v>
      </c>
      <c r="C122" s="32" t="s">
        <v>2006</v>
      </c>
      <c r="D122" s="16" t="s">
        <v>2009</v>
      </c>
      <c r="E122" s="16" t="s">
        <v>3037</v>
      </c>
      <c r="F122" s="25" t="str">
        <f ca="1">IFERROR(__xludf.DUMMYFUNCTION("GOOGLETRANSLATE(E487, ""ja"",""en"")"),"environment")</f>
        <v>environment</v>
      </c>
      <c r="G122" s="3"/>
    </row>
    <row r="123" spans="1:8">
      <c r="A123" s="81"/>
      <c r="B123" s="31" t="s">
        <v>83</v>
      </c>
      <c r="C123" s="32" t="s">
        <v>1671</v>
      </c>
      <c r="D123" s="16" t="s">
        <v>2702</v>
      </c>
      <c r="E123" s="16" t="s">
        <v>3459</v>
      </c>
      <c r="F123" s="25" t="str">
        <f ca="1">IFERROR(__xludf.DUMMYFUNCTION("GOOGLETRANSLATE(E428, ""ja"",""en"")"),"latest")</f>
        <v>latest</v>
      </c>
      <c r="G123" s="3"/>
    </row>
    <row r="124" spans="1:8">
      <c r="A124" s="81"/>
      <c r="B124" s="31" t="s">
        <v>83</v>
      </c>
      <c r="C124" s="32" t="s">
        <v>1671</v>
      </c>
      <c r="D124" s="16" t="s">
        <v>2703</v>
      </c>
      <c r="E124" s="16" t="s">
        <v>3460</v>
      </c>
      <c r="F124" s="25" t="str">
        <f ca="1">IFERROR(__xludf.DUMMYFUNCTION("GOOGLETRANSLATE(E429, ""ja"",""en"")"),"technology")</f>
        <v>technology</v>
      </c>
      <c r="G124" s="3"/>
    </row>
    <row r="125" spans="1:8">
      <c r="A125" s="81"/>
      <c r="B125" s="31" t="s">
        <v>83</v>
      </c>
      <c r="C125" s="32" t="s">
        <v>1917</v>
      </c>
      <c r="D125" s="16" t="s">
        <v>2704</v>
      </c>
      <c r="E125" s="16" t="s">
        <v>2705</v>
      </c>
      <c r="F125" s="25" t="str">
        <f ca="1">IFERROR(__xludf.DUMMYFUNCTION("GOOGLETRANSLATE(E103, ""ja"",""en"")"),"cooking method")</f>
        <v>cooking method</v>
      </c>
      <c r="G125" s="4"/>
    </row>
    <row r="126" spans="1:8">
      <c r="A126" s="81"/>
      <c r="B126" s="31" t="s">
        <v>83</v>
      </c>
      <c r="C126" s="32" t="s">
        <v>1740</v>
      </c>
      <c r="D126" s="20" t="s">
        <v>2706</v>
      </c>
      <c r="E126" s="16" t="s">
        <v>3461</v>
      </c>
      <c r="F126" s="25" t="s">
        <v>3711</v>
      </c>
      <c r="G126" s="48"/>
      <c r="H126" s="3"/>
    </row>
    <row r="127" spans="1:8">
      <c r="A127" s="81"/>
      <c r="B127" s="31" t="s">
        <v>83</v>
      </c>
      <c r="C127" s="32" t="s">
        <v>1740</v>
      </c>
      <c r="D127" s="16" t="s">
        <v>2707</v>
      </c>
      <c r="E127" s="16" t="s">
        <v>3462</v>
      </c>
      <c r="F127" s="20" t="s">
        <v>2708</v>
      </c>
      <c r="G127" s="3"/>
    </row>
    <row r="128" spans="1:8">
      <c r="A128" s="81"/>
      <c r="B128" s="31" t="s">
        <v>83</v>
      </c>
      <c r="C128" s="32" t="s">
        <v>1923</v>
      </c>
      <c r="D128" s="16" t="s">
        <v>2709</v>
      </c>
      <c r="E128" s="16" t="s">
        <v>2710</v>
      </c>
      <c r="F128" s="25" t="s">
        <v>2711</v>
      </c>
      <c r="G128" s="3"/>
    </row>
    <row r="129" spans="1:7">
      <c r="A129" s="81"/>
      <c r="B129" s="31" t="s">
        <v>83</v>
      </c>
      <c r="C129" s="32" t="s">
        <v>1673</v>
      </c>
      <c r="D129" s="20" t="s">
        <v>2712</v>
      </c>
      <c r="E129" s="16" t="s">
        <v>2713</v>
      </c>
      <c r="F129" s="25" t="s">
        <v>2714</v>
      </c>
      <c r="G129" s="48"/>
    </row>
    <row r="130" spans="1:7">
      <c r="A130" s="81"/>
      <c r="B130" s="31" t="s">
        <v>83</v>
      </c>
      <c r="C130" s="32" t="s">
        <v>1673</v>
      </c>
      <c r="D130" s="16" t="s">
        <v>2533</v>
      </c>
      <c r="E130" s="16" t="s">
        <v>2534</v>
      </c>
      <c r="F130" s="25" t="str">
        <f ca="1">IFERROR(__xludf.DUMMYFUNCTION("GOOGLETRANSLATE(E492, ""ja"",""en"")"),"all")</f>
        <v>all</v>
      </c>
      <c r="G130" s="3"/>
    </row>
    <row r="131" spans="1:7">
      <c r="A131" s="81"/>
      <c r="B131" s="31" t="s">
        <v>83</v>
      </c>
      <c r="C131" s="32" t="s">
        <v>1673</v>
      </c>
      <c r="D131" s="16" t="s">
        <v>2715</v>
      </c>
      <c r="E131" s="16" t="s">
        <v>3463</v>
      </c>
      <c r="F131" s="25" t="s">
        <v>3712</v>
      </c>
      <c r="G131" s="48"/>
    </row>
    <row r="132" spans="1:7">
      <c r="A132" s="81"/>
      <c r="B132" s="31" t="s">
        <v>83</v>
      </c>
      <c r="C132" s="32" t="s">
        <v>1673</v>
      </c>
      <c r="D132" s="20" t="s">
        <v>2716</v>
      </c>
      <c r="E132" s="20" t="s">
        <v>2717</v>
      </c>
      <c r="F132" s="25" t="s">
        <v>2886</v>
      </c>
      <c r="G132" s="3"/>
    </row>
    <row r="133" spans="1:7">
      <c r="A133" s="81"/>
      <c r="B133" s="31" t="s">
        <v>83</v>
      </c>
      <c r="C133" s="32" t="s">
        <v>1673</v>
      </c>
      <c r="D133" s="16" t="s">
        <v>1942</v>
      </c>
      <c r="E133" s="16" t="s">
        <v>2092</v>
      </c>
      <c r="F133" s="25" t="str">
        <f ca="1">IFERROR(__xludf.DUMMYFUNCTION("GOOGLETRANSLATE(E54, ""ja"",""en"")"),"pasta")</f>
        <v>pasta</v>
      </c>
      <c r="G133" s="3"/>
    </row>
    <row r="134" spans="1:7">
      <c r="A134" s="81"/>
      <c r="B134" s="31" t="s">
        <v>83</v>
      </c>
      <c r="C134" s="32" t="s">
        <v>1675</v>
      </c>
      <c r="D134" s="16" t="s">
        <v>2236</v>
      </c>
      <c r="E134" s="16" t="s">
        <v>1514</v>
      </c>
      <c r="F134" s="25" t="str">
        <f ca="1">IFERROR(__xludf.DUMMYFUNCTION("GOOGLETRANSLATE(E295, ""ja"",""en"")"),"current")</f>
        <v>current</v>
      </c>
      <c r="G134" s="3"/>
    </row>
    <row r="135" spans="1:7">
      <c r="A135" s="81"/>
      <c r="B135" s="31" t="s">
        <v>83</v>
      </c>
      <c r="C135" s="32" t="s">
        <v>1675</v>
      </c>
      <c r="D135" s="16" t="s">
        <v>2718</v>
      </c>
      <c r="E135" s="16" t="s">
        <v>3464</v>
      </c>
      <c r="F135" s="25" t="str">
        <f ca="1">IFERROR(__xludf.DUMMYFUNCTION("GOOGLETRANSLATE(E435, ""ja"",""en"")"),"global")</f>
        <v>global</v>
      </c>
      <c r="G135" s="3"/>
    </row>
    <row r="136" spans="1:7">
      <c r="A136" s="81"/>
      <c r="B136" s="31" t="s">
        <v>83</v>
      </c>
      <c r="C136" s="32" t="s">
        <v>1675</v>
      </c>
      <c r="D136" s="16" t="s">
        <v>2719</v>
      </c>
      <c r="E136" s="16" t="s">
        <v>2028</v>
      </c>
      <c r="F136" s="25" t="str">
        <f ca="1">IFERROR(__xludf.DUMMYFUNCTION("GOOGLETRANSLATE(E152, ""ja"",""en"")"),"to develop")</f>
        <v>to develop</v>
      </c>
      <c r="G136" s="4"/>
    </row>
    <row r="137" spans="1:7">
      <c r="A137" s="81"/>
      <c r="B137" s="31" t="s">
        <v>83</v>
      </c>
      <c r="C137" s="32" t="s">
        <v>1675</v>
      </c>
      <c r="D137" s="16" t="s">
        <v>2720</v>
      </c>
      <c r="E137" s="16" t="s">
        <v>2721</v>
      </c>
      <c r="F137" s="25" t="s">
        <v>2722</v>
      </c>
      <c r="G137" s="3"/>
    </row>
    <row r="138" spans="1:7">
      <c r="A138" s="81"/>
      <c r="B138" s="31" t="s">
        <v>83</v>
      </c>
      <c r="C138" s="32" t="s">
        <v>2024</v>
      </c>
      <c r="D138" s="20" t="s">
        <v>2723</v>
      </c>
      <c r="E138" s="24" t="s">
        <v>2724</v>
      </c>
      <c r="F138" s="25" t="s">
        <v>2725</v>
      </c>
      <c r="G138" s="48"/>
    </row>
    <row r="139" spans="1:7">
      <c r="A139" s="81"/>
      <c r="B139" s="31" t="s">
        <v>83</v>
      </c>
      <c r="C139" s="32" t="s">
        <v>1754</v>
      </c>
      <c r="D139" s="16" t="s">
        <v>2726</v>
      </c>
      <c r="E139" s="16" t="s">
        <v>3465</v>
      </c>
      <c r="F139" s="25" t="str">
        <f ca="1">IFERROR(__xludf.DUMMYFUNCTION("GOOGLETRANSLATE(E456, ""ja"",""en"")"),"insect")</f>
        <v>insect</v>
      </c>
      <c r="G139" s="3"/>
    </row>
    <row r="140" spans="1:7">
      <c r="A140" s="81"/>
      <c r="B140" s="31" t="s">
        <v>83</v>
      </c>
      <c r="C140" s="32" t="s">
        <v>1754</v>
      </c>
      <c r="D140" s="20" t="s">
        <v>2727</v>
      </c>
      <c r="E140" s="16" t="s">
        <v>3466</v>
      </c>
      <c r="F140" s="25" t="str">
        <f ca="1">IFERROR(__xludf.DUMMYFUNCTION("GOOGLETRANSLATE(E437, ""ja"",""en"")"),"new ingredients")</f>
        <v>new ingredients</v>
      </c>
      <c r="G140" s="4"/>
    </row>
    <row r="141" spans="1:7">
      <c r="A141" s="81"/>
      <c r="B141" s="31" t="s">
        <v>83</v>
      </c>
      <c r="C141" s="32" t="s">
        <v>1754</v>
      </c>
      <c r="D141" s="20" t="s">
        <v>2728</v>
      </c>
      <c r="E141" s="20" t="s">
        <v>2729</v>
      </c>
      <c r="F141" s="25" t="s">
        <v>2730</v>
      </c>
      <c r="G141" s="3"/>
    </row>
    <row r="142" spans="1:7">
      <c r="A142" s="81"/>
      <c r="B142" s="31" t="s">
        <v>83</v>
      </c>
      <c r="C142" s="32" t="s">
        <v>2031</v>
      </c>
      <c r="D142" s="16" t="s">
        <v>2731</v>
      </c>
      <c r="E142" s="16" t="s">
        <v>3467</v>
      </c>
      <c r="F142" s="25" t="str">
        <f ca="1">IFERROR(__xludf.DUMMYFUNCTION("GOOGLETRANSLATE(E458, ""ja"",""en"")"),"distribution")</f>
        <v>distribution</v>
      </c>
      <c r="G142" s="3"/>
    </row>
    <row r="143" spans="1:7">
      <c r="A143" s="81"/>
      <c r="B143" s="31" t="s">
        <v>83</v>
      </c>
      <c r="C143" s="32" t="s">
        <v>1761</v>
      </c>
      <c r="D143" s="16" t="s">
        <v>2732</v>
      </c>
      <c r="E143" s="16" t="s">
        <v>1584</v>
      </c>
      <c r="F143" s="25" t="str">
        <f ca="1">IFERROR(__xludf.DUMMYFUNCTION("GOOGLETRANSLATE(E103, ""ja"",""en"")"),"cooking")</f>
        <v>cooking</v>
      </c>
      <c r="G143" s="3"/>
    </row>
    <row r="144" spans="1:7">
      <c r="A144" s="81"/>
      <c r="B144" s="31" t="s">
        <v>83</v>
      </c>
      <c r="C144" s="32" t="s">
        <v>1761</v>
      </c>
      <c r="D144" s="16" t="s">
        <v>2733</v>
      </c>
      <c r="E144" s="16" t="s">
        <v>3468</v>
      </c>
      <c r="F144" s="25" t="str">
        <f ca="1">IFERROR(__xludf.DUMMYFUNCTION("GOOGLETRANSLATE(E438, ""ja"",""en"")"),"process")</f>
        <v>process</v>
      </c>
      <c r="G144" s="3"/>
    </row>
    <row r="145" spans="1:7">
      <c r="A145" s="81"/>
      <c r="B145" s="31" t="s">
        <v>83</v>
      </c>
      <c r="C145" s="32" t="s">
        <v>1761</v>
      </c>
      <c r="D145" s="16" t="s">
        <v>2734</v>
      </c>
      <c r="E145" s="16" t="s">
        <v>2735</v>
      </c>
      <c r="F145" s="25" t="str">
        <f ca="1">IFERROR(__xludf.DUMMYFUNCTION("GOOGLETRANSLATE(E305, ""ja"",""en"")"),"shortage")</f>
        <v>shortage</v>
      </c>
      <c r="G145" s="3"/>
    </row>
    <row r="146" spans="1:7">
      <c r="A146" s="81"/>
      <c r="B146" s="31" t="s">
        <v>83</v>
      </c>
      <c r="C146" s="32" t="s">
        <v>1761</v>
      </c>
      <c r="D146" s="20" t="s">
        <v>2736</v>
      </c>
      <c r="E146" s="16" t="s">
        <v>3469</v>
      </c>
      <c r="F146" s="25" t="s">
        <v>2737</v>
      </c>
      <c r="G146" s="3"/>
    </row>
    <row r="147" spans="1:7">
      <c r="A147" s="81"/>
      <c r="B147" s="31" t="s">
        <v>83</v>
      </c>
      <c r="C147" s="32" t="s">
        <v>1761</v>
      </c>
      <c r="D147" s="16" t="s">
        <v>2738</v>
      </c>
      <c r="E147" s="16" t="s">
        <v>3470</v>
      </c>
      <c r="F147" s="25" t="str">
        <f ca="1">IFERROR(__xludf.DUMMYFUNCTION("GOOGLETRANSLATE(E498, ""ja"",""en"")"),"solution")</f>
        <v>solution</v>
      </c>
      <c r="G147" s="3"/>
    </row>
    <row r="148" spans="1:7">
      <c r="A148" s="81"/>
      <c r="B148" s="31" t="s">
        <v>83</v>
      </c>
      <c r="C148" s="32" t="s">
        <v>1761</v>
      </c>
      <c r="D148" s="20" t="s">
        <v>2739</v>
      </c>
      <c r="E148" s="16" t="s">
        <v>3396</v>
      </c>
      <c r="F148" s="25" t="s">
        <v>2740</v>
      </c>
      <c r="G148" s="3"/>
    </row>
    <row r="149" spans="1:7">
      <c r="A149" s="81"/>
      <c r="B149" s="31" t="s">
        <v>83</v>
      </c>
      <c r="C149" s="32" t="s">
        <v>1926</v>
      </c>
      <c r="D149" s="16" t="s">
        <v>2741</v>
      </c>
      <c r="E149" s="16" t="s">
        <v>3471</v>
      </c>
      <c r="F149" s="25" t="str">
        <f ca="1">IFERROR(__xludf.DUMMYFUNCTION("GOOGLETRANSLATE(E503, ""ja"",""en"")"),"human race")</f>
        <v>human race</v>
      </c>
      <c r="G149" s="3"/>
    </row>
    <row r="150" spans="1:7">
      <c r="A150" s="81"/>
      <c r="B150" s="31" t="s">
        <v>83</v>
      </c>
      <c r="C150" s="32" t="s">
        <v>1768</v>
      </c>
      <c r="D150" s="16" t="s">
        <v>1766</v>
      </c>
      <c r="E150" s="16" t="s">
        <v>1767</v>
      </c>
      <c r="F150" s="25" t="str">
        <f ca="1">IFERROR(__xludf.DUMMYFUNCTION("GOOGLETRANSLATE(E440, ""ja"",""en"")"),"way of life")</f>
        <v>way of life</v>
      </c>
      <c r="G150" s="3"/>
    </row>
    <row r="151" spans="1:7">
      <c r="A151" s="81"/>
      <c r="B151" s="31" t="s">
        <v>83</v>
      </c>
      <c r="C151" s="32" t="s">
        <v>1768</v>
      </c>
      <c r="D151" s="16" t="s">
        <v>2742</v>
      </c>
      <c r="E151" s="16" t="s">
        <v>2743</v>
      </c>
      <c r="F151" s="25" t="s">
        <v>2744</v>
      </c>
      <c r="G151" s="3"/>
    </row>
    <row r="152" spans="1:7">
      <c r="A152" s="81"/>
      <c r="B152" s="31" t="s">
        <v>83</v>
      </c>
      <c r="C152" s="32" t="s">
        <v>1768</v>
      </c>
      <c r="D152" s="16" t="s">
        <v>2745</v>
      </c>
      <c r="E152" s="16" t="s">
        <v>2746</v>
      </c>
      <c r="F152" s="25" t="str">
        <f ca="1">IFERROR(__xludf.DUMMYFUNCTION("GOOGLETRANSLATE(E460, ""ja"",""en"")"),"to predict")</f>
        <v>to predict</v>
      </c>
      <c r="G152" s="3"/>
    </row>
    <row r="153" spans="1:7">
      <c r="A153" s="81"/>
      <c r="B153" s="31" t="s">
        <v>83</v>
      </c>
      <c r="C153" s="36" t="s">
        <v>1929</v>
      </c>
      <c r="D153" s="20" t="s">
        <v>2747</v>
      </c>
      <c r="E153" s="20" t="s">
        <v>1980</v>
      </c>
      <c r="F153" s="25" t="s">
        <v>2748</v>
      </c>
      <c r="G153" s="3"/>
    </row>
    <row r="154" spans="1:7">
      <c r="A154" s="81"/>
      <c r="B154" s="31" t="s">
        <v>83</v>
      </c>
      <c r="C154" s="32" t="s">
        <v>2045</v>
      </c>
      <c r="D154" s="16" t="s">
        <v>2749</v>
      </c>
      <c r="E154" s="16" t="s">
        <v>3472</v>
      </c>
      <c r="F154" s="25" t="s">
        <v>3713</v>
      </c>
      <c r="G154" s="3"/>
    </row>
    <row r="155" spans="1:7">
      <c r="A155" s="81"/>
      <c r="B155" s="31" t="s">
        <v>83</v>
      </c>
      <c r="C155" s="32" t="s">
        <v>1929</v>
      </c>
      <c r="D155" s="16" t="s">
        <v>2750</v>
      </c>
      <c r="E155" s="16" t="s">
        <v>3473</v>
      </c>
      <c r="F155" s="25" t="s">
        <v>2751</v>
      </c>
      <c r="G155" s="3"/>
    </row>
    <row r="156" spans="1:7">
      <c r="A156" s="81"/>
      <c r="B156" s="31" t="s">
        <v>83</v>
      </c>
      <c r="C156" s="32" t="s">
        <v>1929</v>
      </c>
      <c r="D156" s="20" t="s">
        <v>2752</v>
      </c>
      <c r="E156" s="16" t="s">
        <v>3474</v>
      </c>
      <c r="F156" s="25" t="s">
        <v>3714</v>
      </c>
      <c r="G156" s="4"/>
    </row>
    <row r="157" spans="1:7">
      <c r="A157" s="81"/>
      <c r="B157" s="31" t="s">
        <v>83</v>
      </c>
      <c r="C157" s="32" t="s">
        <v>1929</v>
      </c>
      <c r="D157" s="16" t="s">
        <v>2753</v>
      </c>
      <c r="E157" s="16" t="s">
        <v>2754</v>
      </c>
      <c r="F157" s="25" t="str">
        <f ca="1">IFERROR(__xludf.DUMMYFUNCTION("GOOGLETRANSLATE(E465, ""ja"",""en"")"),"to include")</f>
        <v>to include</v>
      </c>
      <c r="G157" s="3"/>
    </row>
    <row r="158" spans="1:7">
      <c r="A158" s="81"/>
      <c r="B158" s="31" t="s">
        <v>83</v>
      </c>
      <c r="C158" s="36" t="s">
        <v>1777</v>
      </c>
      <c r="D158" s="20" t="s">
        <v>2755</v>
      </c>
      <c r="E158" s="20" t="s">
        <v>2756</v>
      </c>
      <c r="F158" s="25" t="s">
        <v>2757</v>
      </c>
      <c r="G158" s="3"/>
    </row>
    <row r="159" spans="1:7">
      <c r="A159" s="81"/>
      <c r="B159" s="31" t="s">
        <v>83</v>
      </c>
      <c r="C159" s="32" t="s">
        <v>1777</v>
      </c>
      <c r="D159" s="16" t="s">
        <v>2758</v>
      </c>
      <c r="E159" s="16" t="s">
        <v>3475</v>
      </c>
      <c r="F159" s="25" t="s">
        <v>2759</v>
      </c>
      <c r="G159" s="3"/>
    </row>
    <row r="160" spans="1:7">
      <c r="A160" s="81"/>
      <c r="B160" s="31" t="s">
        <v>83</v>
      </c>
      <c r="C160" s="32" t="s">
        <v>1777</v>
      </c>
      <c r="D160" s="16" t="s">
        <v>2760</v>
      </c>
      <c r="E160" s="16" t="s">
        <v>3479</v>
      </c>
      <c r="F160" s="25" t="str">
        <f ca="1">IFERROR(__xludf.DUMMYFUNCTION("GOOGLETRANSLATE(E471, ""ja"",""en"")"),"high calorie")</f>
        <v>high calorie</v>
      </c>
      <c r="G160" s="48"/>
    </row>
    <row r="161" spans="1:7">
      <c r="A161" s="81"/>
      <c r="B161" s="31" t="s">
        <v>83</v>
      </c>
      <c r="C161" s="32" t="s">
        <v>1777</v>
      </c>
      <c r="D161" s="16" t="s">
        <v>2761</v>
      </c>
      <c r="E161" s="16" t="s">
        <v>3476</v>
      </c>
      <c r="F161" s="25" t="str">
        <f ca="1">IFERROR(__xludf.DUMMYFUNCTION("GOOGLETRANSLATE(E445, ""ja"",""en"")"),"gene")</f>
        <v>gene</v>
      </c>
      <c r="G161" s="3"/>
    </row>
    <row r="162" spans="1:7">
      <c r="A162" s="81"/>
      <c r="B162" s="31" t="s">
        <v>83</v>
      </c>
      <c r="C162" s="32" t="s">
        <v>1777</v>
      </c>
      <c r="D162" s="16" t="s">
        <v>2762</v>
      </c>
      <c r="E162" s="16" t="s">
        <v>2763</v>
      </c>
      <c r="F162" s="20" t="s">
        <v>3715</v>
      </c>
      <c r="G162" s="3"/>
    </row>
    <row r="163" spans="1:7">
      <c r="A163" s="81"/>
      <c r="B163" s="31" t="s">
        <v>83</v>
      </c>
      <c r="C163" s="36" t="s">
        <v>2386</v>
      </c>
      <c r="D163" s="16" t="s">
        <v>2765</v>
      </c>
      <c r="E163" s="16" t="s">
        <v>2766</v>
      </c>
      <c r="F163" s="20" t="s">
        <v>2767</v>
      </c>
      <c r="G163" s="3"/>
    </row>
    <row r="164" spans="1:7">
      <c r="A164" s="81"/>
      <c r="B164" s="31" t="s">
        <v>83</v>
      </c>
      <c r="C164" s="32" t="s">
        <v>1779</v>
      </c>
      <c r="D164" s="20" t="s">
        <v>2768</v>
      </c>
      <c r="E164" s="16" t="s">
        <v>3477</v>
      </c>
      <c r="F164" s="25" t="str">
        <f ca="1">IFERROR(__xludf.DUMMYFUNCTION("GOOGLETRANSLATE(E160, ""ja"",""en"")"),"equal")</f>
        <v>equal</v>
      </c>
      <c r="G164" s="3"/>
    </row>
    <row r="165" spans="1:7">
      <c r="A165" s="82"/>
      <c r="B165" s="31" t="s">
        <v>83</v>
      </c>
      <c r="C165" s="32" t="s">
        <v>2769</v>
      </c>
      <c r="D165" s="16" t="s">
        <v>2770</v>
      </c>
      <c r="E165" s="16" t="s">
        <v>3478</v>
      </c>
      <c r="F165" s="25" t="str">
        <f ca="1">IFERROR(__xludf.DUMMYFUNCTION("GOOGLETRANSLATE(E513, ""ja"",""en"")"),"consumer")</f>
        <v>consumer</v>
      </c>
      <c r="G165" s="3"/>
    </row>
  </sheetData>
  <autoFilter ref="A1:H165" xr:uid="{DECE326C-DCFD-460F-9CAC-0E29682D60B1}"/>
  <mergeCells count="1">
    <mergeCell ref="A2:A165"/>
  </mergeCells>
  <phoneticPr fontId="2"/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459A5-AB8F-4C70-AA74-E2C5166C49B6}">
  <dimension ref="A1:F143"/>
  <sheetViews>
    <sheetView zoomScaleNormal="100" workbookViewId="0">
      <pane ySplit="1" topLeftCell="A117" activePane="bottomLeft" state="frozen"/>
      <selection pane="bottomLeft" sqref="A1:F143"/>
    </sheetView>
  </sheetViews>
  <sheetFormatPr baseColWidth="10" defaultColWidth="11.28515625" defaultRowHeight="20"/>
  <cols>
    <col min="1" max="1" width="7.85546875" style="2" customWidth="1"/>
    <col min="2" max="3" width="11.28515625" style="2"/>
    <col min="4" max="4" width="17.85546875" style="2" customWidth="1"/>
    <col min="5" max="5" width="17.7109375" style="2" customWidth="1"/>
    <col min="6" max="6" width="22" style="2" customWidth="1"/>
    <col min="7" max="16384" width="11.28515625" style="2"/>
  </cols>
  <sheetData>
    <row r="1" spans="1:6" s="10" customFormat="1" ht="17">
      <c r="A1" s="72" t="s">
        <v>0</v>
      </c>
      <c r="B1" s="72" t="s">
        <v>1</v>
      </c>
      <c r="C1" s="73" t="s">
        <v>3747</v>
      </c>
      <c r="D1" s="72" t="s">
        <v>3740</v>
      </c>
      <c r="E1" s="72" t="s">
        <v>3741</v>
      </c>
      <c r="F1" s="72" t="s">
        <v>3742</v>
      </c>
    </row>
    <row r="2" spans="1:6">
      <c r="A2" s="94" t="s">
        <v>2771</v>
      </c>
      <c r="B2" s="16"/>
      <c r="C2" s="31" t="s">
        <v>2172</v>
      </c>
      <c r="D2" s="16" t="s">
        <v>1869</v>
      </c>
      <c r="E2" s="16" t="s">
        <v>2054</v>
      </c>
      <c r="F2" s="25" t="str">
        <f ca="1">IFERROR(__xludf.DUMMYFUNCTION("GOOGLETRANSLATE(E404, ""ja"",""en"")"),"food")</f>
        <v>food</v>
      </c>
    </row>
    <row r="3" spans="1:6">
      <c r="A3" s="95"/>
      <c r="B3" s="31"/>
      <c r="C3" s="32" t="s">
        <v>1611</v>
      </c>
      <c r="D3" s="16" t="s">
        <v>2772</v>
      </c>
      <c r="E3" s="16" t="s">
        <v>2964</v>
      </c>
      <c r="F3" s="25" t="str">
        <f ca="1">IFERROR(__xludf.DUMMYFUNCTION("GOOGLETRANSLATE(E644, ""ja"",""en"")"),"labor")</f>
        <v>labor</v>
      </c>
    </row>
    <row r="4" spans="1:6">
      <c r="A4" s="95"/>
      <c r="B4" s="31" t="s">
        <v>2175</v>
      </c>
      <c r="C4" s="32" t="s">
        <v>2176</v>
      </c>
      <c r="D4" s="16" t="s">
        <v>2773</v>
      </c>
      <c r="E4" s="16" t="s">
        <v>1600</v>
      </c>
      <c r="F4" s="25" t="str">
        <f ca="1">IFERROR(__xludf.DUMMYFUNCTION("GOOGLETRANSLATE(E291, ""ja"",""en"")"),"to change")</f>
        <v>to change</v>
      </c>
    </row>
    <row r="5" spans="1:6">
      <c r="A5" s="95"/>
      <c r="B5" s="31" t="s">
        <v>2175</v>
      </c>
      <c r="C5" s="32" t="s">
        <v>1614</v>
      </c>
      <c r="D5" s="16" t="s">
        <v>2012</v>
      </c>
      <c r="E5" s="16" t="s">
        <v>2140</v>
      </c>
      <c r="F5" s="25" t="str">
        <f ca="1">IFERROR(__xludf.DUMMYFUNCTION("GOOGLETRANSLATE(E75, ""ja"",""en"")"),"convenience store")</f>
        <v>convenience store</v>
      </c>
    </row>
    <row r="6" spans="1:6">
      <c r="A6" s="95"/>
      <c r="B6" s="31" t="s">
        <v>8</v>
      </c>
      <c r="C6" s="32" t="s">
        <v>1872</v>
      </c>
      <c r="D6" s="16" t="s">
        <v>2774</v>
      </c>
      <c r="E6" s="16" t="s">
        <v>2965</v>
      </c>
      <c r="F6" s="25" t="str">
        <f ca="1">IFERROR(__xludf.DUMMYFUNCTION("GOOGLETRANSLATE(E725, ""ja"",""en"")"),"product")</f>
        <v>product</v>
      </c>
    </row>
    <row r="7" spans="1:6">
      <c r="A7" s="95"/>
      <c r="B7" s="31" t="s">
        <v>8</v>
      </c>
      <c r="C7" s="32" t="s">
        <v>1937</v>
      </c>
      <c r="D7" s="16" t="s">
        <v>2775</v>
      </c>
      <c r="E7" s="16" t="s">
        <v>2966</v>
      </c>
      <c r="F7" s="25" t="str">
        <f ca="1">IFERROR(__xludf.DUMMYFUNCTION("GOOGLETRANSLATE(E75, ""ja"",""en"")"),"convenience store")</f>
        <v>convenience store</v>
      </c>
    </row>
    <row r="8" spans="1:6">
      <c r="A8" s="95"/>
      <c r="B8" s="31" t="s">
        <v>8</v>
      </c>
      <c r="C8" s="32" t="s">
        <v>1619</v>
      </c>
      <c r="D8" s="16" t="s">
        <v>2776</v>
      </c>
      <c r="E8" s="16" t="s">
        <v>2967</v>
      </c>
      <c r="F8" s="20" t="s">
        <v>2777</v>
      </c>
    </row>
    <row r="9" spans="1:6">
      <c r="A9" s="95"/>
      <c r="B9" s="31" t="s">
        <v>8</v>
      </c>
      <c r="C9" s="32" t="s">
        <v>1621</v>
      </c>
      <c r="D9" s="16" t="s">
        <v>2778</v>
      </c>
      <c r="E9" s="16" t="s">
        <v>2968</v>
      </c>
      <c r="F9" s="25" t="str">
        <f ca="1">IFERROR(__xludf.DUMMYFUNCTION("GOOGLETRANSLATE(E550, ""ja"",""en"")"),"single")</f>
        <v>single</v>
      </c>
    </row>
    <row r="10" spans="1:6">
      <c r="A10" s="95"/>
      <c r="B10" s="31" t="s">
        <v>8</v>
      </c>
      <c r="C10" s="32" t="s">
        <v>1621</v>
      </c>
      <c r="D10" s="16" t="s">
        <v>2779</v>
      </c>
      <c r="E10" s="16" t="s">
        <v>2969</v>
      </c>
      <c r="F10" s="25" t="s">
        <v>2780</v>
      </c>
    </row>
    <row r="11" spans="1:6">
      <c r="A11" s="95"/>
      <c r="B11" s="31" t="s">
        <v>8</v>
      </c>
      <c r="C11" s="32" t="s">
        <v>1621</v>
      </c>
      <c r="D11" s="16" t="s">
        <v>2781</v>
      </c>
      <c r="E11" s="16" t="s">
        <v>2970</v>
      </c>
      <c r="F11" s="25" t="str">
        <f ca="1">IFERROR(__xludf.DUMMYFUNCTION("GOOGLETRANSLATE(E516, ""ja"",""en"")"),"rice ball")</f>
        <v>rice ball</v>
      </c>
    </row>
    <row r="12" spans="1:6">
      <c r="A12" s="95"/>
      <c r="B12" s="31" t="s">
        <v>8</v>
      </c>
      <c r="C12" s="32" t="s">
        <v>1945</v>
      </c>
      <c r="D12" s="16" t="s">
        <v>2782</v>
      </c>
      <c r="E12" s="16" t="s">
        <v>2971</v>
      </c>
      <c r="F12" s="25" t="str">
        <f ca="1">IFERROR(__xludf.DUMMYFUNCTION("GOOGLETRANSLATE(E517, ""ja"",""en"")"),"snack")</f>
        <v>snack</v>
      </c>
    </row>
    <row r="13" spans="1:6">
      <c r="A13" s="95"/>
      <c r="B13" s="31" t="s">
        <v>8</v>
      </c>
      <c r="C13" s="32" t="s">
        <v>1626</v>
      </c>
      <c r="D13" s="16" t="s">
        <v>2783</v>
      </c>
      <c r="E13" s="16" t="s">
        <v>2972</v>
      </c>
      <c r="F13" s="20" t="s">
        <v>2369</v>
      </c>
    </row>
    <row r="14" spans="1:6">
      <c r="A14" s="95"/>
      <c r="B14" s="31" t="s">
        <v>8</v>
      </c>
      <c r="C14" s="32" t="s">
        <v>1626</v>
      </c>
      <c r="D14" s="16" t="s">
        <v>2784</v>
      </c>
      <c r="E14" s="16" t="s">
        <v>3599</v>
      </c>
      <c r="F14" s="25" t="s">
        <v>2785</v>
      </c>
    </row>
    <row r="15" spans="1:6">
      <c r="A15" s="95"/>
      <c r="B15" s="31" t="s">
        <v>8</v>
      </c>
      <c r="C15" s="32" t="s">
        <v>1952</v>
      </c>
      <c r="D15" s="16" t="s">
        <v>2786</v>
      </c>
      <c r="E15" s="16" t="s">
        <v>2494</v>
      </c>
      <c r="F15" s="25" t="str">
        <f ca="1">IFERROR(__xludf.DUMMYFUNCTION("GOOGLETRANSLATE(E252, ""ja"",""en"")"),"elderly people")</f>
        <v>elderly people</v>
      </c>
    </row>
    <row r="16" spans="1:6">
      <c r="A16" s="95"/>
      <c r="B16" s="31" t="s">
        <v>8</v>
      </c>
      <c r="C16" s="32" t="s">
        <v>1629</v>
      </c>
      <c r="D16" s="16" t="s">
        <v>2787</v>
      </c>
      <c r="E16" s="16" t="s">
        <v>2973</v>
      </c>
      <c r="F16" s="25" t="str">
        <f ca="1">IFERROR(__xludf.DUMMYFUNCTION("GOOGLETRANSLATE(E128, ""ja"",""en"")"),"housewife")</f>
        <v>housewife</v>
      </c>
    </row>
    <row r="17" spans="1:6">
      <c r="A17" s="95"/>
      <c r="B17" s="31" t="s">
        <v>8</v>
      </c>
      <c r="C17" s="32" t="s">
        <v>1629</v>
      </c>
      <c r="D17" s="20" t="s">
        <v>2788</v>
      </c>
      <c r="E17" s="20" t="s">
        <v>2974</v>
      </c>
      <c r="F17" s="25" t="str">
        <f ca="1">IFERROR(__xludf.DUMMYFUNCTION("GOOGLETRANSLATE(E519, ""ja"",""en"")"),"a wide age range")</f>
        <v>a wide age range</v>
      </c>
    </row>
    <row r="18" spans="1:6">
      <c r="A18" s="95"/>
      <c r="B18" s="31" t="s">
        <v>8</v>
      </c>
      <c r="C18" s="32" t="s">
        <v>1633</v>
      </c>
      <c r="D18" s="20" t="s">
        <v>2789</v>
      </c>
      <c r="E18" s="16" t="s">
        <v>2975</v>
      </c>
      <c r="F18" s="25" t="s">
        <v>2790</v>
      </c>
    </row>
    <row r="19" spans="1:6">
      <c r="A19" s="95"/>
      <c r="B19" s="31" t="s">
        <v>8</v>
      </c>
      <c r="C19" s="32" t="s">
        <v>1638</v>
      </c>
      <c r="D19" s="16" t="s">
        <v>2791</v>
      </c>
      <c r="E19" s="16" t="s">
        <v>2151</v>
      </c>
      <c r="F19" s="25" t="str">
        <f ca="1">IFERROR(__xludf.DUMMYFUNCTION("GOOGLETRANSLATE(E80, ""ja"",""en"")"),"warm")</f>
        <v>warm</v>
      </c>
    </row>
    <row r="20" spans="1:6">
      <c r="A20" s="95"/>
      <c r="B20" s="31" t="s">
        <v>8</v>
      </c>
      <c r="C20" s="32" t="s">
        <v>1638</v>
      </c>
      <c r="D20" s="16" t="s">
        <v>1672</v>
      </c>
      <c r="E20" s="16" t="s">
        <v>1807</v>
      </c>
      <c r="F20" s="25" t="str">
        <f ca="1">IFERROR(__xludf.DUMMYFUNCTION("GOOGLETRANSLATE(E523, ""ja"",""en"")"),"Japanese fried chicken")</f>
        <v>Japanese fried chicken</v>
      </c>
    </row>
    <row r="21" spans="1:6">
      <c r="A21" s="95"/>
      <c r="B21" s="31" t="s">
        <v>8</v>
      </c>
      <c r="C21" s="32" t="s">
        <v>1638</v>
      </c>
      <c r="D21" s="16" t="s">
        <v>2792</v>
      </c>
      <c r="E21" s="16" t="s">
        <v>2976</v>
      </c>
      <c r="F21" s="25" t="str">
        <f ca="1">IFERROR(__xludf.DUMMYFUNCTION("GOOGLETRANSLATE(E524, ""ja"",""en"")"),"croquette")</f>
        <v>croquette</v>
      </c>
    </row>
    <row r="22" spans="1:6">
      <c r="A22" s="95"/>
      <c r="B22" s="31" t="s">
        <v>8</v>
      </c>
      <c r="C22" s="32" t="s">
        <v>1962</v>
      </c>
      <c r="D22" s="16" t="s">
        <v>2793</v>
      </c>
      <c r="E22" s="16" t="s">
        <v>2977</v>
      </c>
      <c r="F22" s="25" t="s">
        <v>711</v>
      </c>
    </row>
    <row r="23" spans="1:6">
      <c r="A23" s="95"/>
      <c r="B23" s="31" t="s">
        <v>8</v>
      </c>
      <c r="C23" s="32" t="s">
        <v>1640</v>
      </c>
      <c r="D23" s="20" t="s">
        <v>2794</v>
      </c>
      <c r="E23" s="20" t="s">
        <v>765</v>
      </c>
      <c r="F23" s="25" t="s">
        <v>2795</v>
      </c>
    </row>
    <row r="24" spans="1:6">
      <c r="A24" s="95"/>
      <c r="B24" s="31" t="s">
        <v>8</v>
      </c>
      <c r="C24" s="32" t="s">
        <v>1640</v>
      </c>
      <c r="D24" s="16" t="s">
        <v>2796</v>
      </c>
      <c r="E24" s="16" t="s">
        <v>2978</v>
      </c>
      <c r="F24" s="25" t="s">
        <v>2797</v>
      </c>
    </row>
    <row r="25" spans="1:6">
      <c r="A25" s="95"/>
      <c r="B25" s="31" t="s">
        <v>8</v>
      </c>
      <c r="C25" s="32" t="s">
        <v>1640</v>
      </c>
      <c r="D25" s="16" t="s">
        <v>2798</v>
      </c>
      <c r="E25" s="16" t="s">
        <v>2979</v>
      </c>
      <c r="F25" s="25" t="s">
        <v>2799</v>
      </c>
    </row>
    <row r="26" spans="1:6">
      <c r="A26" s="95"/>
      <c r="B26" s="31" t="s">
        <v>8</v>
      </c>
      <c r="C26" s="32" t="s">
        <v>1640</v>
      </c>
      <c r="D26" s="16" t="s">
        <v>1983</v>
      </c>
      <c r="E26" s="16" t="s">
        <v>2117</v>
      </c>
      <c r="F26" s="25" t="str">
        <f ca="1">IFERROR(__xludf.DUMMYFUNCTION("GOOGLETRANSLATE(E70, ""ja"",""en"")"),"recent years")</f>
        <v>recent years</v>
      </c>
    </row>
    <row r="27" spans="1:6">
      <c r="A27" s="95"/>
      <c r="B27" s="31" t="s">
        <v>8</v>
      </c>
      <c r="C27" s="32" t="s">
        <v>1640</v>
      </c>
      <c r="D27" s="16" t="s">
        <v>2800</v>
      </c>
      <c r="E27" s="16" t="s">
        <v>2980</v>
      </c>
      <c r="F27" s="25" t="str">
        <f ca="1">IFERROR(__xludf.DUMMYFUNCTION("GOOGLETRANSLATE(E528, ""ja"",""en"")"),"each company")</f>
        <v>each company</v>
      </c>
    </row>
    <row r="28" spans="1:6">
      <c r="A28" s="95"/>
      <c r="B28" s="31" t="s">
        <v>8</v>
      </c>
      <c r="C28" s="32" t="s">
        <v>1640</v>
      </c>
      <c r="D28" s="16" t="s">
        <v>2801</v>
      </c>
      <c r="E28" s="16" t="s">
        <v>2981</v>
      </c>
      <c r="F28" s="25" t="s">
        <v>2802</v>
      </c>
    </row>
    <row r="29" spans="1:6">
      <c r="A29" s="95"/>
      <c r="B29" s="31" t="s">
        <v>8</v>
      </c>
      <c r="C29" s="32" t="s">
        <v>1968</v>
      </c>
      <c r="D29" s="20" t="s">
        <v>2803</v>
      </c>
      <c r="E29" s="24" t="s">
        <v>2982</v>
      </c>
      <c r="F29" s="25" t="s">
        <v>2804</v>
      </c>
    </row>
    <row r="30" spans="1:6">
      <c r="A30" s="95"/>
      <c r="B30" s="31" t="s">
        <v>8</v>
      </c>
      <c r="C30" s="32" t="s">
        <v>1642</v>
      </c>
      <c r="D30" s="16" t="s">
        <v>2805</v>
      </c>
      <c r="E30" s="24" t="s">
        <v>2983</v>
      </c>
      <c r="F30" s="25" t="str">
        <f ca="1">IFERROR(__xludf.DUMMYFUNCTION("GOOGLETRANSLATE(E530, ""ja"",""en"")"),"Japanese confectionery")</f>
        <v>Japanese confectionery</v>
      </c>
    </row>
    <row r="31" spans="1:6">
      <c r="A31" s="95"/>
      <c r="B31" s="31" t="s">
        <v>8</v>
      </c>
      <c r="C31" s="32" t="s">
        <v>1642</v>
      </c>
      <c r="D31" s="16" t="s">
        <v>2806</v>
      </c>
      <c r="E31" s="16" t="s">
        <v>2984</v>
      </c>
      <c r="F31" s="25" t="s">
        <v>2807</v>
      </c>
    </row>
    <row r="32" spans="1:6">
      <c r="A32" s="95"/>
      <c r="B32" s="31" t="s">
        <v>8</v>
      </c>
      <c r="C32" s="32" t="s">
        <v>1642</v>
      </c>
      <c r="D32" s="20" t="s">
        <v>2808</v>
      </c>
      <c r="E32" s="16" t="s">
        <v>2985</v>
      </c>
      <c r="F32" s="25" t="str">
        <f ca="1">IFERROR(__xludf.DUMMYFUNCTION("GOOGLETRANSLATE(E556, ""ja"",""en"")"),"fashionable")</f>
        <v>fashionable</v>
      </c>
    </row>
    <row r="33" spans="1:6">
      <c r="A33" s="95"/>
      <c r="B33" s="31" t="s">
        <v>8</v>
      </c>
      <c r="C33" s="32" t="s">
        <v>1975</v>
      </c>
      <c r="D33" s="16" t="s">
        <v>2683</v>
      </c>
      <c r="E33" s="16" t="s">
        <v>3455</v>
      </c>
      <c r="F33" s="25" t="str">
        <f ca="1">IFERROR(__xludf.DUMMYFUNCTION("GOOGLETRANSLATE(E419, ""ja"",""en"")"),"package")</f>
        <v>package</v>
      </c>
    </row>
    <row r="34" spans="1:6">
      <c r="A34" s="95"/>
      <c r="B34" s="31" t="s">
        <v>8</v>
      </c>
      <c r="C34" s="32" t="s">
        <v>1645</v>
      </c>
      <c r="D34" s="16" t="s">
        <v>2809</v>
      </c>
      <c r="E34" s="16" t="s">
        <v>2965</v>
      </c>
      <c r="F34" s="25" t="str">
        <f ca="1">IFERROR(__xludf.DUMMYFUNCTION("GOOGLETRANSLATE(E557, ""ja"",""en"")"),"product")</f>
        <v>product</v>
      </c>
    </row>
    <row r="35" spans="1:6">
      <c r="A35" s="95"/>
      <c r="B35" s="31" t="s">
        <v>8</v>
      </c>
      <c r="C35" s="32" t="s">
        <v>1645</v>
      </c>
      <c r="D35" s="20" t="s">
        <v>2810</v>
      </c>
      <c r="E35" s="20" t="s">
        <v>2986</v>
      </c>
      <c r="F35" s="25" t="s">
        <v>2811</v>
      </c>
    </row>
    <row r="36" spans="1:6">
      <c r="A36" s="95"/>
      <c r="B36" s="31" t="s">
        <v>8</v>
      </c>
      <c r="C36" s="32" t="s">
        <v>1645</v>
      </c>
      <c r="D36" s="20" t="s">
        <v>2282</v>
      </c>
      <c r="E36" s="16" t="s">
        <v>2449</v>
      </c>
      <c r="F36" s="25" t="s">
        <v>2283</v>
      </c>
    </row>
    <row r="37" spans="1:6">
      <c r="A37" s="95"/>
      <c r="B37" s="31" t="s">
        <v>8</v>
      </c>
      <c r="C37" s="32" t="s">
        <v>1645</v>
      </c>
      <c r="D37" s="16" t="s">
        <v>2812</v>
      </c>
      <c r="E37" s="16" t="s">
        <v>2987</v>
      </c>
      <c r="F37" s="25" t="s">
        <v>2813</v>
      </c>
    </row>
    <row r="38" spans="1:6">
      <c r="A38" s="95"/>
      <c r="B38" s="31" t="s">
        <v>8</v>
      </c>
      <c r="C38" s="32" t="s">
        <v>1655</v>
      </c>
      <c r="D38" s="20" t="s">
        <v>2814</v>
      </c>
      <c r="E38" s="20" t="s">
        <v>2815</v>
      </c>
      <c r="F38" s="25" t="s">
        <v>2816</v>
      </c>
    </row>
    <row r="39" spans="1:6">
      <c r="A39" s="95"/>
      <c r="B39" s="31" t="s">
        <v>8</v>
      </c>
      <c r="C39" s="32" t="s">
        <v>1655</v>
      </c>
      <c r="D39" s="16" t="s">
        <v>2817</v>
      </c>
      <c r="E39" s="16" t="s">
        <v>2988</v>
      </c>
      <c r="F39" s="25" t="str">
        <f ca="1">IFERROR(__xludf.DUMMYFUNCTION("GOOGLETRANSLATE(E563, ""ja"",""en"")"),"majority")</f>
        <v>majority</v>
      </c>
    </row>
    <row r="40" spans="1:6">
      <c r="A40" s="95"/>
      <c r="B40" s="31" t="s">
        <v>8</v>
      </c>
      <c r="C40" s="32" t="s">
        <v>1981</v>
      </c>
      <c r="D40" s="20" t="s">
        <v>2818</v>
      </c>
      <c r="E40" s="16" t="s">
        <v>2989</v>
      </c>
      <c r="F40" s="25" t="str">
        <f ca="1">IFERROR(__xludf.DUMMYFUNCTION("GOOGLETRANSLATE(E300, ""ja"",""en"")"),"serious")</f>
        <v>serious</v>
      </c>
    </row>
    <row r="41" spans="1:6">
      <c r="A41" s="95"/>
      <c r="B41" s="31" t="s">
        <v>8</v>
      </c>
      <c r="C41" s="32" t="s">
        <v>1657</v>
      </c>
      <c r="D41" s="16" t="s">
        <v>2819</v>
      </c>
      <c r="E41" s="16" t="s">
        <v>2990</v>
      </c>
      <c r="F41" s="20" t="s">
        <v>2820</v>
      </c>
    </row>
    <row r="42" spans="1:6">
      <c r="A42" s="95"/>
      <c r="B42" s="31" t="s">
        <v>8</v>
      </c>
      <c r="C42" s="36" t="s">
        <v>1657</v>
      </c>
      <c r="D42" s="20" t="s">
        <v>2821</v>
      </c>
      <c r="E42" s="20" t="s">
        <v>2991</v>
      </c>
      <c r="F42" s="20" t="s">
        <v>2822</v>
      </c>
    </row>
    <row r="43" spans="1:6">
      <c r="A43" s="95"/>
      <c r="B43" s="31" t="s">
        <v>8</v>
      </c>
      <c r="C43" s="32" t="s">
        <v>1657</v>
      </c>
      <c r="D43" s="16" t="s">
        <v>2823</v>
      </c>
      <c r="E43" s="16" t="s">
        <v>3598</v>
      </c>
      <c r="F43" s="25" t="str">
        <f ca="1">IFERROR(__xludf.DUMMYFUNCTION("GOOGLETRANSLATE(E535, ""ja"",""en"")"),"Nepal")</f>
        <v>Nepal</v>
      </c>
    </row>
    <row r="44" spans="1:6">
      <c r="A44" s="95"/>
      <c r="B44" s="31" t="s">
        <v>8</v>
      </c>
      <c r="C44" s="32" t="s">
        <v>1904</v>
      </c>
      <c r="D44" s="16" t="s">
        <v>1918</v>
      </c>
      <c r="E44" s="16" t="s">
        <v>2078</v>
      </c>
      <c r="F44" s="25" t="s">
        <v>2824</v>
      </c>
    </row>
    <row r="45" spans="1:6">
      <c r="A45" s="95"/>
      <c r="B45" s="31" t="s">
        <v>8</v>
      </c>
      <c r="C45" s="32" t="s">
        <v>1658</v>
      </c>
      <c r="D45" s="16" t="s">
        <v>1670</v>
      </c>
      <c r="E45" s="16" t="s">
        <v>1806</v>
      </c>
      <c r="F45" s="25" t="str">
        <f ca="1">IFERROR(__xludf.DUMMYFUNCTION("GOOGLETRANSLATE(E566, ""ja"",""en"")"),"smile")</f>
        <v>smile</v>
      </c>
    </row>
    <row r="46" spans="1:6">
      <c r="A46" s="95"/>
      <c r="B46" s="31" t="s">
        <v>8</v>
      </c>
      <c r="C46" s="32" t="s">
        <v>1658</v>
      </c>
      <c r="D46" s="20" t="s">
        <v>2825</v>
      </c>
      <c r="E46" s="20" t="s">
        <v>2992</v>
      </c>
      <c r="F46" s="20" t="s">
        <v>2826</v>
      </c>
    </row>
    <row r="47" spans="1:6">
      <c r="A47" s="95"/>
      <c r="B47" s="31" t="s">
        <v>8</v>
      </c>
      <c r="C47" s="32" t="s">
        <v>1717</v>
      </c>
      <c r="D47" s="16" t="s">
        <v>2827</v>
      </c>
      <c r="E47" s="20" t="s">
        <v>2993</v>
      </c>
      <c r="F47" s="25" t="str">
        <f ca="1">IFERROR(__xludf.DUMMYFUNCTION("GOOGLETRANSLATE(E577, ""ja"",""en"")"),"customer")</f>
        <v>customer</v>
      </c>
    </row>
    <row r="48" spans="1:6">
      <c r="A48" s="95"/>
      <c r="B48" s="31" t="s">
        <v>8</v>
      </c>
      <c r="C48" s="32" t="s">
        <v>1717</v>
      </c>
      <c r="D48" s="20" t="s">
        <v>2828</v>
      </c>
      <c r="E48" s="20" t="s">
        <v>2994</v>
      </c>
      <c r="F48" s="20" t="s">
        <v>2829</v>
      </c>
    </row>
    <row r="49" spans="1:6">
      <c r="A49" s="95"/>
      <c r="B49" s="31" t="s">
        <v>8</v>
      </c>
      <c r="C49" s="32" t="s">
        <v>1661</v>
      </c>
      <c r="D49" s="20" t="s">
        <v>2830</v>
      </c>
      <c r="E49" s="20" t="s">
        <v>2995</v>
      </c>
      <c r="F49" s="20" t="s">
        <v>2831</v>
      </c>
    </row>
    <row r="50" spans="1:6">
      <c r="A50" s="95"/>
      <c r="B50" s="31" t="s">
        <v>8</v>
      </c>
      <c r="C50" s="32" t="s">
        <v>1661</v>
      </c>
      <c r="D50" s="16" t="s">
        <v>2832</v>
      </c>
      <c r="E50" s="16" t="s">
        <v>2996</v>
      </c>
      <c r="F50" s="25" t="str">
        <f ca="1">IFERROR(__xludf.DUMMYFUNCTION("GOOGLETRANSLATE(E654, ""ja"",""en"")"),"existence")</f>
        <v>existence</v>
      </c>
    </row>
    <row r="51" spans="1:6">
      <c r="A51" s="95"/>
      <c r="B51" s="31" t="s">
        <v>8</v>
      </c>
      <c r="C51" s="32" t="s">
        <v>2001</v>
      </c>
      <c r="D51" s="16" t="s">
        <v>2833</v>
      </c>
      <c r="E51" s="16" t="s">
        <v>2997</v>
      </c>
      <c r="F51" s="20" t="s">
        <v>2834</v>
      </c>
    </row>
    <row r="52" spans="1:6">
      <c r="A52" s="95"/>
      <c r="B52" s="31" t="s">
        <v>8</v>
      </c>
      <c r="C52" s="32" t="s">
        <v>1666</v>
      </c>
      <c r="D52" s="16" t="s">
        <v>2835</v>
      </c>
      <c r="E52" s="16" t="s">
        <v>3600</v>
      </c>
      <c r="F52" s="25" t="str">
        <f ca="1">IFERROR(__xludf.DUMMYFUNCTION("GOOGLETRANSLATE(E628, ""ja"",""en"")"),"service")</f>
        <v>service</v>
      </c>
    </row>
    <row r="53" spans="1:6">
      <c r="A53" s="95"/>
      <c r="B53" s="31" t="s">
        <v>8</v>
      </c>
      <c r="C53" s="32" t="s">
        <v>1666</v>
      </c>
      <c r="D53" s="16" t="s">
        <v>2836</v>
      </c>
      <c r="E53" s="16" t="s">
        <v>2999</v>
      </c>
      <c r="F53" s="25" t="str">
        <f ca="1">IFERROR(__xludf.DUMMYFUNCTION("GOOGLETRANSLATE(E571, ""ja"",""en"")"),"complaint")</f>
        <v>complaint</v>
      </c>
    </row>
    <row r="54" spans="1:6">
      <c r="A54" s="95"/>
      <c r="B54" s="31" t="s">
        <v>8</v>
      </c>
      <c r="C54" s="32" t="s">
        <v>1666</v>
      </c>
      <c r="D54" s="16" t="s">
        <v>2837</v>
      </c>
      <c r="E54" s="16" t="s">
        <v>3000</v>
      </c>
      <c r="F54" s="20" t="s">
        <v>2838</v>
      </c>
    </row>
    <row r="55" spans="1:6">
      <c r="A55" s="95"/>
      <c r="B55" s="31" t="s">
        <v>8</v>
      </c>
      <c r="C55" s="32" t="s">
        <v>2006</v>
      </c>
      <c r="D55" s="16" t="s">
        <v>2839</v>
      </c>
      <c r="E55" s="16" t="s">
        <v>3001</v>
      </c>
      <c r="F55" s="25" t="str">
        <f ca="1">IFERROR(__xludf.DUMMYFUNCTION("GOOGLETRANSLATE(E621, ""ja"",""en"")"),"the other person")</f>
        <v>the other person</v>
      </c>
    </row>
    <row r="56" spans="1:6">
      <c r="A56" s="95"/>
      <c r="B56" s="31" t="s">
        <v>8</v>
      </c>
      <c r="C56" s="32" t="s">
        <v>1671</v>
      </c>
      <c r="D56" s="16" t="s">
        <v>2840</v>
      </c>
      <c r="E56" s="16" t="s">
        <v>3002</v>
      </c>
      <c r="F56" s="24" t="s">
        <v>2841</v>
      </c>
    </row>
    <row r="57" spans="1:6">
      <c r="A57" s="95"/>
      <c r="B57" s="31" t="s">
        <v>8</v>
      </c>
      <c r="C57" s="32" t="s">
        <v>1671</v>
      </c>
      <c r="D57" s="16" t="s">
        <v>2842</v>
      </c>
      <c r="E57" s="16" t="s">
        <v>3003</v>
      </c>
      <c r="F57" s="20" t="s">
        <v>2843</v>
      </c>
    </row>
    <row r="58" spans="1:6">
      <c r="A58" s="95"/>
      <c r="B58" s="31" t="s">
        <v>8</v>
      </c>
      <c r="C58" s="32" t="s">
        <v>1917</v>
      </c>
      <c r="D58" s="16" t="s">
        <v>2844</v>
      </c>
      <c r="E58" s="16" t="s">
        <v>3004</v>
      </c>
      <c r="F58" s="16" t="s">
        <v>2845</v>
      </c>
    </row>
    <row r="59" spans="1:6">
      <c r="A59" s="95"/>
      <c r="B59" s="31" t="s">
        <v>8</v>
      </c>
      <c r="C59" s="32" t="s">
        <v>1740</v>
      </c>
      <c r="D59" s="16" t="s">
        <v>2846</v>
      </c>
      <c r="E59" s="16" t="s">
        <v>3005</v>
      </c>
      <c r="F59" s="20" t="s">
        <v>2847</v>
      </c>
    </row>
    <row r="60" spans="1:6">
      <c r="A60" s="95"/>
      <c r="B60" s="31" t="s">
        <v>8</v>
      </c>
      <c r="C60" s="32" t="s">
        <v>1923</v>
      </c>
      <c r="D60" s="16" t="s">
        <v>2848</v>
      </c>
      <c r="E60" s="16" t="s">
        <v>3006</v>
      </c>
      <c r="F60" s="20" t="s">
        <v>2849</v>
      </c>
    </row>
    <row r="61" spans="1:6">
      <c r="A61" s="95"/>
      <c r="B61" s="31" t="s">
        <v>8</v>
      </c>
      <c r="C61" s="36" t="s">
        <v>1675</v>
      </c>
      <c r="D61" s="16" t="s">
        <v>2850</v>
      </c>
      <c r="E61" s="16" t="s">
        <v>3007</v>
      </c>
      <c r="F61" s="20" t="s">
        <v>2851</v>
      </c>
    </row>
    <row r="62" spans="1:6">
      <c r="A62" s="95"/>
      <c r="B62" s="31" t="s">
        <v>8</v>
      </c>
      <c r="C62" s="36" t="s">
        <v>1754</v>
      </c>
      <c r="D62" s="93" t="s">
        <v>2852</v>
      </c>
      <c r="E62" s="93" t="s">
        <v>3759</v>
      </c>
      <c r="F62" s="92" t="s">
        <v>3770</v>
      </c>
    </row>
    <row r="63" spans="1:6">
      <c r="A63" s="95"/>
      <c r="B63" s="31" t="s">
        <v>8</v>
      </c>
      <c r="C63" s="36" t="s">
        <v>1754</v>
      </c>
      <c r="D63" s="20" t="s">
        <v>2853</v>
      </c>
      <c r="E63" s="24" t="s">
        <v>3008</v>
      </c>
      <c r="F63" s="20" t="s">
        <v>2854</v>
      </c>
    </row>
    <row r="64" spans="1:6">
      <c r="A64" s="95"/>
      <c r="B64" s="31" t="s">
        <v>8</v>
      </c>
      <c r="C64" s="36" t="s">
        <v>1761</v>
      </c>
      <c r="D64" s="16" t="s">
        <v>2855</v>
      </c>
      <c r="E64" s="16" t="s">
        <v>3009</v>
      </c>
      <c r="F64" s="20" t="s">
        <v>2856</v>
      </c>
    </row>
    <row r="65" spans="1:6">
      <c r="A65" s="95"/>
      <c r="B65" s="31" t="s">
        <v>8</v>
      </c>
      <c r="C65" s="36" t="s">
        <v>1761</v>
      </c>
      <c r="D65" s="16" t="s">
        <v>2857</v>
      </c>
      <c r="E65" s="16" t="s">
        <v>2858</v>
      </c>
      <c r="F65" s="20" t="s">
        <v>2859</v>
      </c>
    </row>
    <row r="66" spans="1:6">
      <c r="A66" s="95"/>
      <c r="B66" s="31" t="s">
        <v>8</v>
      </c>
      <c r="C66" s="36" t="s">
        <v>1761</v>
      </c>
      <c r="D66" s="16" t="s">
        <v>1998</v>
      </c>
      <c r="E66" s="16" t="s">
        <v>2129</v>
      </c>
      <c r="F66" s="25" t="str">
        <f ca="1">IFERROR(__xludf.DUMMYFUNCTION("GOOGLETRANSLATE(E634, ""ja"",""en"")"),"to feel")</f>
        <v>to feel</v>
      </c>
    </row>
    <row r="67" spans="1:6">
      <c r="A67" s="95"/>
      <c r="B67" s="31" t="s">
        <v>2254</v>
      </c>
      <c r="C67" s="32" t="s">
        <v>2176</v>
      </c>
      <c r="D67" s="16" t="s">
        <v>2860</v>
      </c>
      <c r="E67" s="16" t="s">
        <v>3010</v>
      </c>
      <c r="F67" s="25" t="str">
        <f ca="1">IFERROR(__xludf.DUMMYFUNCTION("GOOGLETRANSLATE(E579, ""ja"",""en"")"),"hospitality")</f>
        <v>hospitality</v>
      </c>
    </row>
    <row r="68" spans="1:6">
      <c r="A68" s="95"/>
      <c r="B68" s="31" t="s">
        <v>2254</v>
      </c>
      <c r="C68" s="32" t="s">
        <v>2176</v>
      </c>
      <c r="D68" s="16" t="s">
        <v>2861</v>
      </c>
      <c r="E68" s="16" t="s">
        <v>3011</v>
      </c>
      <c r="F68" s="25" t="str">
        <f ca="1">IFERROR(__xludf.DUMMYFUNCTION("GOOGLETRANSLATE(E538, ""ja"",""en"")"),"customer")</f>
        <v>customer</v>
      </c>
    </row>
    <row r="69" spans="1:6">
      <c r="A69" s="95"/>
      <c r="B69" s="31" t="s">
        <v>83</v>
      </c>
      <c r="C69" s="32" t="s">
        <v>2176</v>
      </c>
      <c r="D69" s="16" t="s">
        <v>2862</v>
      </c>
      <c r="E69" s="16" t="s">
        <v>3012</v>
      </c>
      <c r="F69" s="25" t="str">
        <f ca="1">IFERROR(__xludf.DUMMYFUNCTION("GOOGLETRANSLATE(E629, ""ja"",""en"")"),"god")</f>
        <v>god</v>
      </c>
    </row>
    <row r="70" spans="1:6">
      <c r="A70" s="95"/>
      <c r="B70" s="31" t="s">
        <v>83</v>
      </c>
      <c r="C70" s="32" t="s">
        <v>1937</v>
      </c>
      <c r="D70" s="20" t="s">
        <v>2827</v>
      </c>
      <c r="E70" s="24" t="s">
        <v>2993</v>
      </c>
      <c r="F70" s="25" t="str">
        <f ca="1">IFERROR(__xludf.DUMMYFUNCTION("GOOGLETRANSLATE(E754, ""ja"",""en"")"),"customer")</f>
        <v>customer</v>
      </c>
    </row>
    <row r="71" spans="1:6">
      <c r="A71" s="95"/>
      <c r="B71" s="31" t="s">
        <v>83</v>
      </c>
      <c r="C71" s="32" t="s">
        <v>1619</v>
      </c>
      <c r="D71" s="16" t="s">
        <v>2025</v>
      </c>
      <c r="E71" s="16" t="s">
        <v>2151</v>
      </c>
      <c r="F71" s="25" t="str">
        <f ca="1">IFERROR(__xludf.DUMMYFUNCTION("GOOGLETRANSLATE(E80, ""ja"",""en"")"),"warm")</f>
        <v>warm</v>
      </c>
    </row>
    <row r="72" spans="1:6">
      <c r="A72" s="95"/>
      <c r="B72" s="31" t="s">
        <v>83</v>
      </c>
      <c r="C72" s="32" t="s">
        <v>1876</v>
      </c>
      <c r="D72" s="16" t="s">
        <v>2863</v>
      </c>
      <c r="E72" s="16" t="s">
        <v>3013</v>
      </c>
      <c r="F72" s="25" t="s">
        <v>2864</v>
      </c>
    </row>
    <row r="73" spans="1:6">
      <c r="A73" s="95"/>
      <c r="B73" s="31" t="s">
        <v>83</v>
      </c>
      <c r="C73" s="32" t="s">
        <v>1621</v>
      </c>
      <c r="D73" s="16" t="s">
        <v>2865</v>
      </c>
      <c r="E73" s="16" t="s">
        <v>3001</v>
      </c>
      <c r="F73" s="25" t="s">
        <v>2866</v>
      </c>
    </row>
    <row r="74" spans="1:6">
      <c r="A74" s="95"/>
      <c r="B74" s="31" t="s">
        <v>83</v>
      </c>
      <c r="C74" s="32" t="s">
        <v>1945</v>
      </c>
      <c r="D74" s="16" t="s">
        <v>2867</v>
      </c>
      <c r="E74" s="16" t="s">
        <v>3014</v>
      </c>
      <c r="F74" s="25" t="s">
        <v>2868</v>
      </c>
    </row>
    <row r="75" spans="1:6">
      <c r="A75" s="95"/>
      <c r="B75" s="31" t="s">
        <v>83</v>
      </c>
      <c r="C75" s="32" t="s">
        <v>1626</v>
      </c>
      <c r="D75" s="16" t="s">
        <v>2869</v>
      </c>
      <c r="E75" s="16" t="s">
        <v>3015</v>
      </c>
      <c r="F75" s="25" t="s">
        <v>2870</v>
      </c>
    </row>
    <row r="76" spans="1:6">
      <c r="A76" s="95"/>
      <c r="B76" s="31" t="s">
        <v>83</v>
      </c>
      <c r="C76" s="32" t="s">
        <v>1626</v>
      </c>
      <c r="D76" s="16" t="s">
        <v>2871</v>
      </c>
      <c r="E76" s="16" t="s">
        <v>3016</v>
      </c>
      <c r="F76" s="25" t="s">
        <v>2872</v>
      </c>
    </row>
    <row r="77" spans="1:6">
      <c r="A77" s="95"/>
      <c r="B77" s="31" t="s">
        <v>83</v>
      </c>
      <c r="C77" s="32" t="s">
        <v>1626</v>
      </c>
      <c r="D77" s="16" t="s">
        <v>2012</v>
      </c>
      <c r="E77" s="16" t="s">
        <v>2140</v>
      </c>
      <c r="F77" s="25" t="str">
        <f ca="1">IFERROR(__xludf.DUMMYFUNCTION("GOOGLETRANSLATE(E514, ""ja"",""en"")"),"convenience store")</f>
        <v>convenience store</v>
      </c>
    </row>
    <row r="78" spans="1:6">
      <c r="A78" s="95"/>
      <c r="B78" s="31" t="s">
        <v>83</v>
      </c>
      <c r="C78" s="32" t="s">
        <v>1952</v>
      </c>
      <c r="D78" s="20" t="s">
        <v>2873</v>
      </c>
      <c r="E78" s="16" t="s">
        <v>3017</v>
      </c>
      <c r="F78" s="25" t="str">
        <f ca="1">IFERROR(__xludf.DUMMYFUNCTION("GOOGLETRANSLATE(E622, ""ja"",""en"")"),"high-grade Japanese inn")</f>
        <v>high-grade Japanese inn</v>
      </c>
    </row>
    <row r="79" spans="1:6">
      <c r="A79" s="95"/>
      <c r="B79" s="31" t="s">
        <v>83</v>
      </c>
      <c r="C79" s="32" t="s">
        <v>1629</v>
      </c>
      <c r="D79" s="16" t="s">
        <v>2874</v>
      </c>
      <c r="E79" s="16" t="s">
        <v>3018</v>
      </c>
      <c r="F79" s="25" t="s">
        <v>2875</v>
      </c>
    </row>
    <row r="80" spans="1:6">
      <c r="A80" s="95"/>
      <c r="B80" s="31" t="s">
        <v>83</v>
      </c>
      <c r="C80" s="32" t="s">
        <v>1893</v>
      </c>
      <c r="D80" s="16" t="s">
        <v>2617</v>
      </c>
      <c r="E80" s="16" t="s">
        <v>3019</v>
      </c>
      <c r="F80" s="25" t="str">
        <f ca="1">IFERROR(__xludf.DUMMYFUNCTION("GOOGLETRANSLATE(E584, ""ja"",""en"")"),"origin")</f>
        <v>origin</v>
      </c>
    </row>
    <row r="81" spans="1:6">
      <c r="A81" s="95"/>
      <c r="B81" s="31" t="s">
        <v>83</v>
      </c>
      <c r="C81" s="32" t="s">
        <v>1638</v>
      </c>
      <c r="D81" s="16" t="s">
        <v>2876</v>
      </c>
      <c r="E81" s="16" t="s">
        <v>3020</v>
      </c>
      <c r="F81" s="25" t="str">
        <f ca="1">IFERROR(__xludf.DUMMYFUNCTION("GOOGLETRANSLATE(E585, ""ja"",""en"")"),"various theories")</f>
        <v>various theories</v>
      </c>
    </row>
    <row r="82" spans="1:6">
      <c r="A82" s="95"/>
      <c r="B82" s="31" t="s">
        <v>83</v>
      </c>
      <c r="C82" s="32" t="s">
        <v>1962</v>
      </c>
      <c r="D82" s="20" t="s">
        <v>2877</v>
      </c>
      <c r="E82" s="20" t="s">
        <v>3021</v>
      </c>
      <c r="F82" s="20" t="s">
        <v>2878</v>
      </c>
    </row>
    <row r="83" spans="1:6">
      <c r="A83" s="95"/>
      <c r="B83" s="31" t="s">
        <v>83</v>
      </c>
      <c r="C83" s="32" t="s">
        <v>1640</v>
      </c>
      <c r="D83" s="16" t="s">
        <v>2879</v>
      </c>
      <c r="E83" s="16" t="s">
        <v>3022</v>
      </c>
      <c r="F83" s="25" t="str">
        <f ca="1">IFERROR(__xludf.DUMMYFUNCTION("GOOGLETRANSLATE(E586, ""ja"",""en"")"),"tea ceremony")</f>
        <v>tea ceremony</v>
      </c>
    </row>
    <row r="84" spans="1:6">
      <c r="A84" s="95"/>
      <c r="B84" s="31" t="s">
        <v>83</v>
      </c>
      <c r="C84" s="32" t="s">
        <v>1640</v>
      </c>
      <c r="D84" s="20" t="s">
        <v>2880</v>
      </c>
      <c r="E84" s="20" t="s">
        <v>1277</v>
      </c>
      <c r="F84" s="25" t="s">
        <v>2881</v>
      </c>
    </row>
    <row r="85" spans="1:6">
      <c r="A85" s="95"/>
      <c r="B85" s="31" t="s">
        <v>83</v>
      </c>
      <c r="C85" s="32" t="s">
        <v>1642</v>
      </c>
      <c r="D85" s="16" t="s">
        <v>2882</v>
      </c>
      <c r="E85" s="16" t="s">
        <v>3023</v>
      </c>
      <c r="F85" s="25" t="s">
        <v>2883</v>
      </c>
    </row>
    <row r="86" spans="1:6">
      <c r="A86" s="95"/>
      <c r="B86" s="31" t="s">
        <v>83</v>
      </c>
      <c r="C86" s="36" t="s">
        <v>1645</v>
      </c>
      <c r="D86" s="16" t="s">
        <v>2835</v>
      </c>
      <c r="E86" s="16" t="s">
        <v>3600</v>
      </c>
      <c r="F86" s="25" t="str">
        <f ca="1">IFERROR(__xludf.DUMMYFUNCTION("GOOGLETRANSLATE(E628, ""ja"",""en"")"),"service")</f>
        <v>service</v>
      </c>
    </row>
    <row r="87" spans="1:6">
      <c r="A87" s="95"/>
      <c r="B87" s="31" t="s">
        <v>83</v>
      </c>
      <c r="C87" s="32" t="s">
        <v>1901</v>
      </c>
      <c r="D87" s="20" t="s">
        <v>2884</v>
      </c>
      <c r="E87" s="16" t="s">
        <v>3601</v>
      </c>
      <c r="F87" s="25" t="s">
        <v>2885</v>
      </c>
    </row>
    <row r="88" spans="1:6">
      <c r="A88" s="95"/>
      <c r="B88" s="31" t="s">
        <v>83</v>
      </c>
      <c r="C88" s="32" t="s">
        <v>1655</v>
      </c>
      <c r="D88" s="20" t="s">
        <v>2361</v>
      </c>
      <c r="E88" s="16" t="s">
        <v>2443</v>
      </c>
      <c r="F88" s="25" t="s">
        <v>2886</v>
      </c>
    </row>
    <row r="89" spans="1:6">
      <c r="A89" s="95"/>
      <c r="B89" s="31" t="s">
        <v>83</v>
      </c>
      <c r="C89" s="32" t="s">
        <v>1981</v>
      </c>
      <c r="D89" s="16" t="s">
        <v>2887</v>
      </c>
      <c r="E89" s="16" t="s">
        <v>3024</v>
      </c>
      <c r="F89" s="25" t="str">
        <f ca="1">IFERROR(__xludf.DUMMYFUNCTION("GOOGLETRANSLATE(E589, ""ja"",""en"")"),"employee")</f>
        <v>employee</v>
      </c>
    </row>
    <row r="90" spans="1:6">
      <c r="A90" s="95"/>
      <c r="B90" s="31" t="s">
        <v>83</v>
      </c>
      <c r="C90" s="32" t="s">
        <v>1657</v>
      </c>
      <c r="D90" s="16" t="s">
        <v>2888</v>
      </c>
      <c r="E90" s="16" t="s">
        <v>3025</v>
      </c>
      <c r="F90" s="20" t="s">
        <v>2889</v>
      </c>
    </row>
    <row r="91" spans="1:6">
      <c r="A91" s="95"/>
      <c r="B91" s="31" t="s">
        <v>83</v>
      </c>
      <c r="C91" s="32" t="s">
        <v>1657</v>
      </c>
      <c r="D91" s="16" t="s">
        <v>2890</v>
      </c>
      <c r="E91" s="16" t="s">
        <v>3602</v>
      </c>
      <c r="F91" s="25" t="str">
        <f ca="1">IFERROR(__xludf.DUMMYFUNCTION("GOOGLETRANSLATE(E590, ""ja"",""en"")"),"motto")</f>
        <v>motto</v>
      </c>
    </row>
    <row r="92" spans="1:6">
      <c r="A92" s="95"/>
      <c r="B92" s="31" t="s">
        <v>83</v>
      </c>
      <c r="C92" s="32" t="s">
        <v>1904</v>
      </c>
      <c r="D92" s="16" t="s">
        <v>2891</v>
      </c>
      <c r="E92" s="16" t="s">
        <v>3026</v>
      </c>
      <c r="F92" s="25" t="s">
        <v>2892</v>
      </c>
    </row>
    <row r="93" spans="1:6">
      <c r="A93" s="95"/>
      <c r="B93" s="31" t="s">
        <v>83</v>
      </c>
      <c r="C93" s="32" t="s">
        <v>1658</v>
      </c>
      <c r="D93" s="16" t="s">
        <v>1710</v>
      </c>
      <c r="E93" s="16" t="s">
        <v>1833</v>
      </c>
      <c r="F93" s="25" t="str">
        <f ca="1">IFERROR(__xludf.DUMMYFUNCTION("GOOGLETRANSLATE(E591, ""ja"",""en"")"),"pleasant")</f>
        <v>pleasant</v>
      </c>
    </row>
    <row r="94" spans="1:6">
      <c r="A94" s="95"/>
      <c r="B94" s="31" t="s">
        <v>83</v>
      </c>
      <c r="C94" s="32" t="s">
        <v>1658</v>
      </c>
      <c r="D94" s="20" t="s">
        <v>2893</v>
      </c>
      <c r="E94" s="20" t="s">
        <v>3027</v>
      </c>
      <c r="F94" s="25" t="s">
        <v>2335</v>
      </c>
    </row>
    <row r="95" spans="1:6">
      <c r="A95" s="95"/>
      <c r="B95" s="31" t="s">
        <v>83</v>
      </c>
      <c r="C95" s="32" t="s">
        <v>1658</v>
      </c>
      <c r="D95" s="16" t="s">
        <v>2894</v>
      </c>
      <c r="E95" s="16" t="s">
        <v>3028</v>
      </c>
      <c r="F95" s="25" t="str">
        <f ca="1">IFERROR(__xludf.DUMMYFUNCTION("GOOGLETRANSLATE(E630, ""ja"",""en"")"),"degree of satisfaction")</f>
        <v>degree of satisfaction</v>
      </c>
    </row>
    <row r="96" spans="1:6">
      <c r="A96" s="95"/>
      <c r="B96" s="31" t="s">
        <v>83</v>
      </c>
      <c r="C96" s="36" t="s">
        <v>1904</v>
      </c>
      <c r="D96" s="16" t="s">
        <v>2895</v>
      </c>
      <c r="E96" s="16" t="s">
        <v>3029</v>
      </c>
      <c r="F96" s="25" t="str">
        <f ca="1">IFERROR(__xludf.DUMMYFUNCTION("GOOGLETRANSLATE(E614, ""ja"",""en"")"),"to increase")</f>
        <v>to increase</v>
      </c>
    </row>
    <row r="97" spans="1:6">
      <c r="A97" s="95"/>
      <c r="B97" s="31" t="s">
        <v>83</v>
      </c>
      <c r="C97" s="32" t="s">
        <v>1717</v>
      </c>
      <c r="D97" s="20" t="s">
        <v>2896</v>
      </c>
      <c r="E97" s="24" t="s">
        <v>1296</v>
      </c>
      <c r="F97" s="25" t="s">
        <v>2897</v>
      </c>
    </row>
    <row r="98" spans="1:6">
      <c r="A98" s="95"/>
      <c r="B98" s="31" t="s">
        <v>83</v>
      </c>
      <c r="C98" s="32" t="s">
        <v>1717</v>
      </c>
      <c r="D98" s="16" t="s">
        <v>1998</v>
      </c>
      <c r="E98" s="16" t="s">
        <v>2129</v>
      </c>
      <c r="F98" s="25" t="str">
        <f ca="1">IFERROR(__xludf.DUMMYFUNCTION("GOOGLETRANSLATE(E133, ""ja"",""en"")"),"to feel")</f>
        <v>to feel</v>
      </c>
    </row>
    <row r="99" spans="1:6">
      <c r="A99" s="95"/>
      <c r="B99" s="31" t="s">
        <v>83</v>
      </c>
      <c r="C99" s="36" t="s">
        <v>1906</v>
      </c>
      <c r="D99" s="16" t="s">
        <v>2869</v>
      </c>
      <c r="E99" s="16" t="s">
        <v>3015</v>
      </c>
      <c r="F99" s="25" t="s">
        <v>2898</v>
      </c>
    </row>
    <row r="100" spans="1:6">
      <c r="A100" s="95"/>
      <c r="B100" s="31" t="s">
        <v>83</v>
      </c>
      <c r="C100" s="32" t="s">
        <v>1661</v>
      </c>
      <c r="D100" s="16" t="s">
        <v>2899</v>
      </c>
      <c r="E100" s="16" t="s">
        <v>3030</v>
      </c>
      <c r="F100" s="25" t="str">
        <f ca="1">IFERROR(__xludf.DUMMYFUNCTION("GOOGLETRANSLATE(E635, ""ja"",""en"")"),"complaint")</f>
        <v>complaint</v>
      </c>
    </row>
    <row r="101" spans="1:6">
      <c r="A101" s="95"/>
      <c r="B101" s="31" t="s">
        <v>83</v>
      </c>
      <c r="C101" s="32" t="s">
        <v>1661</v>
      </c>
      <c r="D101" s="16" t="s">
        <v>2900</v>
      </c>
      <c r="E101" s="16" t="s">
        <v>3031</v>
      </c>
      <c r="F101" s="25" t="s">
        <v>2901</v>
      </c>
    </row>
    <row r="102" spans="1:6">
      <c r="A102" s="95"/>
      <c r="B102" s="31" t="s">
        <v>83</v>
      </c>
      <c r="C102" s="32" t="s">
        <v>1661</v>
      </c>
      <c r="D102" s="16" t="s">
        <v>2902</v>
      </c>
      <c r="E102" s="16" t="s">
        <v>3603</v>
      </c>
      <c r="F102" s="25" t="s">
        <v>2903</v>
      </c>
    </row>
    <row r="103" spans="1:6">
      <c r="A103" s="95"/>
      <c r="B103" s="31" t="s">
        <v>83</v>
      </c>
      <c r="C103" s="32" t="s">
        <v>1661</v>
      </c>
      <c r="D103" s="20" t="s">
        <v>2904</v>
      </c>
      <c r="E103" s="16" t="s">
        <v>3032</v>
      </c>
      <c r="F103" s="25" t="str">
        <f ca="1">IFERROR(__xludf.DUMMYFUNCTION("GOOGLETRANSLATE(E636, ""ja"",""en"")"),"excess")</f>
        <v>excess</v>
      </c>
    </row>
    <row r="104" spans="1:6">
      <c r="A104" s="95"/>
      <c r="B104" s="31" t="s">
        <v>83</v>
      </c>
      <c r="C104" s="32" t="s">
        <v>1661</v>
      </c>
      <c r="D104" s="16" t="s">
        <v>2905</v>
      </c>
      <c r="E104" s="16" t="s">
        <v>3033</v>
      </c>
      <c r="F104" s="25" t="s">
        <v>2906</v>
      </c>
    </row>
    <row r="105" spans="1:6">
      <c r="A105" s="95"/>
      <c r="B105" s="31" t="s">
        <v>83</v>
      </c>
      <c r="C105" s="32" t="s">
        <v>1661</v>
      </c>
      <c r="D105" s="16" t="s">
        <v>2907</v>
      </c>
      <c r="E105" s="16" t="s">
        <v>3034</v>
      </c>
      <c r="F105" s="25" t="s">
        <v>2908</v>
      </c>
    </row>
    <row r="106" spans="1:6">
      <c r="A106" s="95"/>
      <c r="B106" s="31" t="s">
        <v>83</v>
      </c>
      <c r="C106" s="32" t="s">
        <v>1909</v>
      </c>
      <c r="D106" s="16" t="s">
        <v>2909</v>
      </c>
      <c r="E106" s="16" t="s">
        <v>1525</v>
      </c>
      <c r="F106" s="25" t="str">
        <f ca="1">IFERROR(__xludf.DUMMYFUNCTION("GOOGLETRANSLATE(E639, ""ja"",""en"")"),"overseas")</f>
        <v>overseas</v>
      </c>
    </row>
    <row r="107" spans="1:6">
      <c r="A107" s="95"/>
      <c r="B107" s="31" t="s">
        <v>83</v>
      </c>
      <c r="C107" s="32" t="s">
        <v>1663</v>
      </c>
      <c r="D107" s="16" t="s">
        <v>2379</v>
      </c>
      <c r="E107" s="16" t="s">
        <v>2504</v>
      </c>
      <c r="F107" s="20" t="s">
        <v>2910</v>
      </c>
    </row>
    <row r="108" spans="1:6">
      <c r="A108" s="95"/>
      <c r="B108" s="31" t="s">
        <v>83</v>
      </c>
      <c r="C108" s="32" t="s">
        <v>2001</v>
      </c>
      <c r="D108" s="16" t="s">
        <v>2911</v>
      </c>
      <c r="E108" s="16" t="s">
        <v>3035</v>
      </c>
      <c r="F108" s="20" t="s">
        <v>2912</v>
      </c>
    </row>
    <row r="109" spans="1:6">
      <c r="A109" s="95"/>
      <c r="B109" s="31" t="s">
        <v>83</v>
      </c>
      <c r="C109" s="32" t="s">
        <v>1666</v>
      </c>
      <c r="D109" s="16" t="s">
        <v>1762</v>
      </c>
      <c r="E109" s="16" t="s">
        <v>947</v>
      </c>
      <c r="F109" s="25" t="str">
        <f ca="1">IFERROR(__xludf.DUMMYFUNCTION("GOOGLETRANSLATE(E353, ""ja"",""en"")"),"many")</f>
        <v>many</v>
      </c>
    </row>
    <row r="110" spans="1:6">
      <c r="A110" s="95"/>
      <c r="B110" s="31" t="s">
        <v>83</v>
      </c>
      <c r="C110" s="32" t="s">
        <v>1917</v>
      </c>
      <c r="D110" s="20" t="s">
        <v>2913</v>
      </c>
      <c r="E110" s="20" t="s">
        <v>3036</v>
      </c>
      <c r="F110" s="25" t="s">
        <v>2914</v>
      </c>
    </row>
    <row r="111" spans="1:6">
      <c r="A111" s="95"/>
      <c r="B111" s="31" t="s">
        <v>83</v>
      </c>
      <c r="C111" s="32" t="s">
        <v>1740</v>
      </c>
      <c r="D111" s="20" t="s">
        <v>2009</v>
      </c>
      <c r="E111" s="20" t="s">
        <v>3037</v>
      </c>
      <c r="F111" s="20" t="s">
        <v>2915</v>
      </c>
    </row>
    <row r="112" spans="1:6">
      <c r="A112" s="95"/>
      <c r="B112" s="31" t="s">
        <v>83</v>
      </c>
      <c r="C112" s="32" t="s">
        <v>1923</v>
      </c>
      <c r="D112" s="16" t="s">
        <v>2916</v>
      </c>
      <c r="E112" s="16" t="s">
        <v>3038</v>
      </c>
      <c r="F112" s="25" t="s">
        <v>2917</v>
      </c>
    </row>
    <row r="113" spans="1:6">
      <c r="A113" s="95"/>
      <c r="B113" s="31" t="s">
        <v>83</v>
      </c>
      <c r="C113" s="32" t="s">
        <v>1673</v>
      </c>
      <c r="D113" s="16" t="s">
        <v>2918</v>
      </c>
      <c r="E113" s="16" t="s">
        <v>3039</v>
      </c>
      <c r="F113" s="25" t="str">
        <f ca="1">IFERROR(__xludf.DUMMYFUNCTION("GOOGLETRANSLATE(E729, ""ja"",""en"")"),"company")</f>
        <v>company</v>
      </c>
    </row>
    <row r="114" spans="1:6">
      <c r="A114" s="95"/>
      <c r="B114" s="31" t="s">
        <v>83</v>
      </c>
      <c r="C114" s="32" t="s">
        <v>1673</v>
      </c>
      <c r="D114" s="20" t="s">
        <v>2919</v>
      </c>
      <c r="E114" s="16" t="s">
        <v>3604</v>
      </c>
      <c r="F114" s="25" t="str">
        <f ca="1">IFERROR(__xludf.DUMMYFUNCTION("GOOGLETRANSLATE(E642, ""ja"",""en"")"),"excellent")</f>
        <v>excellent</v>
      </c>
    </row>
    <row r="115" spans="1:6">
      <c r="A115" s="95"/>
      <c r="B115" s="31" t="s">
        <v>83</v>
      </c>
      <c r="C115" s="32" t="s">
        <v>1673</v>
      </c>
      <c r="D115" s="16" t="s">
        <v>2920</v>
      </c>
      <c r="E115" s="16" t="s">
        <v>2991</v>
      </c>
      <c r="F115" s="25" t="str">
        <f ca="1">IFERROR(__xludf.DUMMYFUNCTION("GOOGLETRANSLATE(E600, ""ja"",""en"")"),"staff")</f>
        <v>staff</v>
      </c>
    </row>
    <row r="116" spans="1:6">
      <c r="A116" s="95"/>
      <c r="B116" s="31" t="s">
        <v>83</v>
      </c>
      <c r="C116" s="32" t="s">
        <v>1673</v>
      </c>
      <c r="D116" s="16" t="s">
        <v>2921</v>
      </c>
      <c r="E116" s="16" t="s">
        <v>3040</v>
      </c>
      <c r="F116" s="25" t="s">
        <v>2922</v>
      </c>
    </row>
    <row r="117" spans="1:6">
      <c r="A117" s="95"/>
      <c r="B117" s="31" t="s">
        <v>83</v>
      </c>
      <c r="C117" s="36" t="s">
        <v>1675</v>
      </c>
      <c r="D117" s="20" t="s">
        <v>2923</v>
      </c>
      <c r="E117" s="20" t="s">
        <v>2972</v>
      </c>
      <c r="F117" s="25" t="s">
        <v>2924</v>
      </c>
    </row>
    <row r="118" spans="1:6">
      <c r="A118" s="95"/>
      <c r="B118" s="31" t="s">
        <v>83</v>
      </c>
      <c r="C118" s="32" t="s">
        <v>1925</v>
      </c>
      <c r="D118" s="16" t="s">
        <v>2380</v>
      </c>
      <c r="E118" s="16" t="s">
        <v>2505</v>
      </c>
      <c r="F118" s="25" t="str">
        <f ca="1">IFERROR(__xludf.DUMMYFUNCTION("GOOGLETRANSLATE(E253, ""ja"",""en"")"),"strictness")</f>
        <v>strictness</v>
      </c>
    </row>
    <row r="119" spans="1:6">
      <c r="A119" s="95"/>
      <c r="B119" s="31" t="s">
        <v>83</v>
      </c>
      <c r="C119" s="32" t="s">
        <v>1675</v>
      </c>
      <c r="D119" s="16" t="s">
        <v>2925</v>
      </c>
      <c r="E119" s="16" t="s">
        <v>3041</v>
      </c>
      <c r="F119" s="25" t="s">
        <v>2926</v>
      </c>
    </row>
    <row r="120" spans="1:6">
      <c r="A120" s="95"/>
      <c r="B120" s="31" t="s">
        <v>83</v>
      </c>
      <c r="C120" s="32" t="s">
        <v>1675</v>
      </c>
      <c r="D120" s="16" t="s">
        <v>2961</v>
      </c>
      <c r="E120" s="16" t="s">
        <v>3061</v>
      </c>
      <c r="F120" s="16" t="s">
        <v>3760</v>
      </c>
    </row>
    <row r="121" spans="1:6">
      <c r="A121" s="95"/>
      <c r="B121" s="31" t="s">
        <v>83</v>
      </c>
      <c r="C121" s="32" t="s">
        <v>1675</v>
      </c>
      <c r="D121" s="16" t="s">
        <v>2927</v>
      </c>
      <c r="E121" s="16" t="s">
        <v>3042</v>
      </c>
      <c r="F121" s="25" t="str">
        <f ca="1">IFERROR(__xludf.DUMMYFUNCTION("GOOGLETRANSLATE(E645, ""ja"",""en"")"),"always")</f>
        <v>always</v>
      </c>
    </row>
    <row r="122" spans="1:6">
      <c r="A122" s="95"/>
      <c r="B122" s="31" t="s">
        <v>83</v>
      </c>
      <c r="C122" s="32" t="s">
        <v>1675</v>
      </c>
      <c r="D122" s="16" t="s">
        <v>2928</v>
      </c>
      <c r="E122" s="16" t="s">
        <v>3043</v>
      </c>
      <c r="F122" s="20" t="s">
        <v>2929</v>
      </c>
    </row>
    <row r="123" spans="1:6">
      <c r="A123" s="95"/>
      <c r="B123" s="31" t="s">
        <v>83</v>
      </c>
      <c r="C123" s="32" t="s">
        <v>2024</v>
      </c>
      <c r="D123" s="16" t="s">
        <v>2930</v>
      </c>
      <c r="E123" s="16" t="s">
        <v>3044</v>
      </c>
      <c r="F123" s="25" t="s">
        <v>2931</v>
      </c>
    </row>
    <row r="124" spans="1:6">
      <c r="A124" s="95"/>
      <c r="B124" s="31" t="s">
        <v>83</v>
      </c>
      <c r="C124" s="36" t="s">
        <v>2024</v>
      </c>
      <c r="D124" s="16" t="s">
        <v>2932</v>
      </c>
      <c r="E124" s="16" t="s">
        <v>3046</v>
      </c>
      <c r="F124" s="25" t="s">
        <v>2933</v>
      </c>
    </row>
    <row r="125" spans="1:6">
      <c r="A125" s="95"/>
      <c r="B125" s="31" t="s">
        <v>83</v>
      </c>
      <c r="C125" s="36" t="s">
        <v>1754</v>
      </c>
      <c r="D125" s="16" t="s">
        <v>2934</v>
      </c>
      <c r="E125" s="16" t="s">
        <v>3047</v>
      </c>
      <c r="F125" s="25" t="s">
        <v>680</v>
      </c>
    </row>
    <row r="126" spans="1:6">
      <c r="A126" s="95"/>
      <c r="B126" s="31" t="s">
        <v>83</v>
      </c>
      <c r="C126" s="32" t="s">
        <v>1761</v>
      </c>
      <c r="D126" s="16" t="s">
        <v>2935</v>
      </c>
      <c r="E126" s="16" t="s">
        <v>3048</v>
      </c>
      <c r="F126" s="25" t="s">
        <v>2936</v>
      </c>
    </row>
    <row r="127" spans="1:6">
      <c r="A127" s="95"/>
      <c r="B127" s="31" t="s">
        <v>83</v>
      </c>
      <c r="C127" s="32" t="s">
        <v>1761</v>
      </c>
      <c r="D127" s="16" t="s">
        <v>2937</v>
      </c>
      <c r="E127" s="16" t="s">
        <v>3049</v>
      </c>
      <c r="F127" s="25" t="s">
        <v>2938</v>
      </c>
    </row>
    <row r="128" spans="1:6">
      <c r="A128" s="95"/>
      <c r="B128" s="31" t="s">
        <v>83</v>
      </c>
      <c r="C128" s="32" t="s">
        <v>1761</v>
      </c>
      <c r="D128" s="20" t="s">
        <v>2939</v>
      </c>
      <c r="E128" s="20" t="s">
        <v>3050</v>
      </c>
      <c r="F128" s="20" t="s">
        <v>2940</v>
      </c>
    </row>
    <row r="129" spans="1:6">
      <c r="A129" s="95"/>
      <c r="B129" s="31" t="s">
        <v>83</v>
      </c>
      <c r="C129" s="32" t="s">
        <v>1926</v>
      </c>
      <c r="D129" s="20" t="s">
        <v>2941</v>
      </c>
      <c r="E129" s="16" t="s">
        <v>3051</v>
      </c>
      <c r="F129" s="25" t="str">
        <f ca="1">IFERROR(__xludf.DUMMYFUNCTION("GOOGLETRANSLATE(E646, ""ja"",""en"")"),"to quit")</f>
        <v>to quit</v>
      </c>
    </row>
    <row r="130" spans="1:6">
      <c r="A130" s="95"/>
      <c r="B130" s="31" t="s">
        <v>83</v>
      </c>
      <c r="C130" s="32" t="s">
        <v>1768</v>
      </c>
      <c r="D130" s="20" t="s">
        <v>2942</v>
      </c>
      <c r="E130" s="16" t="s">
        <v>3052</v>
      </c>
      <c r="F130" s="25" t="str">
        <f ca="1">IFERROR(__xludf.DUMMYFUNCTION("GOOGLETRANSLATE(E607, ""ja"",""en"")"),"harsh")</f>
        <v>harsh</v>
      </c>
    </row>
    <row r="131" spans="1:6">
      <c r="A131" s="95"/>
      <c r="B131" s="31" t="s">
        <v>83</v>
      </c>
      <c r="C131" s="32" t="s">
        <v>1768</v>
      </c>
      <c r="D131" s="16" t="s">
        <v>2943</v>
      </c>
      <c r="E131" s="16" t="s">
        <v>3053</v>
      </c>
      <c r="F131" s="25" t="s">
        <v>2944</v>
      </c>
    </row>
    <row r="132" spans="1:6">
      <c r="A132" s="95"/>
      <c r="B132" s="31" t="s">
        <v>83</v>
      </c>
      <c r="C132" s="32" t="s">
        <v>1768</v>
      </c>
      <c r="D132" s="16" t="s">
        <v>2945</v>
      </c>
      <c r="E132" s="16" t="s">
        <v>3054</v>
      </c>
      <c r="F132" s="25" t="str">
        <f ca="1">IFERROR(__xludf.DUMMYFUNCTION("GOOGLETRANSLATE(E648, ""ja"",""en"")"),"best")</f>
        <v>best</v>
      </c>
    </row>
    <row r="133" spans="1:6">
      <c r="A133" s="95"/>
      <c r="B133" s="31" t="s">
        <v>83</v>
      </c>
      <c r="C133" s="32" t="s">
        <v>1768</v>
      </c>
      <c r="D133" s="20" t="s">
        <v>2946</v>
      </c>
      <c r="E133" s="20" t="s">
        <v>3055</v>
      </c>
      <c r="F133" s="25" t="s">
        <v>2947</v>
      </c>
    </row>
    <row r="134" spans="1:6">
      <c r="A134" s="95"/>
      <c r="B134" s="31" t="s">
        <v>83</v>
      </c>
      <c r="C134" s="32" t="s">
        <v>2045</v>
      </c>
      <c r="D134" s="16" t="s">
        <v>681</v>
      </c>
      <c r="E134" s="16" t="s">
        <v>3605</v>
      </c>
      <c r="F134" s="25" t="str">
        <f ca="1">IFERROR(__xludf.DUMMYFUNCTION("GOOGLETRANSLATE(E421, ""ja"",""en"")"),"fast food")</f>
        <v>fast food</v>
      </c>
    </row>
    <row r="135" spans="1:6">
      <c r="A135" s="95"/>
      <c r="B135" s="31" t="s">
        <v>83</v>
      </c>
      <c r="C135" s="32" t="s">
        <v>1929</v>
      </c>
      <c r="D135" s="16" t="s">
        <v>682</v>
      </c>
      <c r="E135" s="16" t="s">
        <v>3606</v>
      </c>
      <c r="F135" s="20" t="s">
        <v>2948</v>
      </c>
    </row>
    <row r="136" spans="1:6">
      <c r="A136" s="95"/>
      <c r="B136" s="31" t="s">
        <v>83</v>
      </c>
      <c r="C136" s="32" t="s">
        <v>1929</v>
      </c>
      <c r="D136" s="16" t="s">
        <v>2949</v>
      </c>
      <c r="E136" s="16" t="s">
        <v>3056</v>
      </c>
      <c r="F136" s="25" t="s">
        <v>2950</v>
      </c>
    </row>
    <row r="137" spans="1:6">
      <c r="A137" s="95"/>
      <c r="B137" s="31" t="s">
        <v>83</v>
      </c>
      <c r="C137" s="32" t="s">
        <v>1929</v>
      </c>
      <c r="D137" s="16" t="s">
        <v>2951</v>
      </c>
      <c r="E137" s="16" t="s">
        <v>3057</v>
      </c>
      <c r="F137" s="25" t="s">
        <v>2952</v>
      </c>
    </row>
    <row r="138" spans="1:6">
      <c r="A138" s="95"/>
      <c r="B138" s="31" t="s">
        <v>83</v>
      </c>
      <c r="C138" s="32" t="s">
        <v>2386</v>
      </c>
      <c r="D138" s="16" t="s">
        <v>2953</v>
      </c>
      <c r="E138" s="16" t="s">
        <v>3058</v>
      </c>
      <c r="F138" s="25" t="s">
        <v>2954</v>
      </c>
    </row>
    <row r="139" spans="1:6">
      <c r="A139" s="95"/>
      <c r="B139" s="31" t="s">
        <v>83</v>
      </c>
      <c r="C139" s="32" t="s">
        <v>1777</v>
      </c>
      <c r="D139" s="16" t="s">
        <v>2955</v>
      </c>
      <c r="E139" s="16" t="s">
        <v>2996</v>
      </c>
      <c r="F139" s="25" t="str">
        <f ca="1">IFERROR(__xludf.DUMMYFUNCTION("GOOGLETRANSLATE(E654, ""ja"",""en"")"),"existence")</f>
        <v>existence</v>
      </c>
    </row>
    <row r="140" spans="1:6">
      <c r="A140" s="95"/>
      <c r="B140" s="31" t="s">
        <v>83</v>
      </c>
      <c r="C140" s="32" t="s">
        <v>1779</v>
      </c>
      <c r="D140" s="16" t="s">
        <v>2956</v>
      </c>
      <c r="E140" s="16" t="s">
        <v>3059</v>
      </c>
      <c r="F140" s="25" t="str">
        <f ca="1">IFERROR(__xludf.DUMMYFUNCTION("GOOGLETRANSLATE(E655, ""ja"",""en"")"),"negative")</f>
        <v>negative</v>
      </c>
    </row>
    <row r="141" spans="1:6">
      <c r="A141" s="95"/>
      <c r="B141" s="31" t="s">
        <v>83</v>
      </c>
      <c r="C141" s="32" t="s">
        <v>1779</v>
      </c>
      <c r="D141" s="16" t="s">
        <v>2957</v>
      </c>
      <c r="E141" s="16" t="s">
        <v>1535</v>
      </c>
      <c r="F141" s="25" t="s">
        <v>2958</v>
      </c>
    </row>
    <row r="142" spans="1:6">
      <c r="A142" s="95"/>
      <c r="B142" s="31" t="s">
        <v>83</v>
      </c>
      <c r="C142" s="32" t="s">
        <v>1779</v>
      </c>
      <c r="D142" s="16" t="s">
        <v>2959</v>
      </c>
      <c r="E142" s="16" t="s">
        <v>3060</v>
      </c>
      <c r="F142" s="20" t="s">
        <v>2960</v>
      </c>
    </row>
    <row r="143" spans="1:6">
      <c r="A143" s="96"/>
      <c r="B143" s="31" t="s">
        <v>83</v>
      </c>
      <c r="C143" s="32" t="s">
        <v>2764</v>
      </c>
      <c r="D143" s="79" t="s">
        <v>2962</v>
      </c>
      <c r="E143" s="20" t="s">
        <v>3062</v>
      </c>
      <c r="F143" s="20" t="s">
        <v>2963</v>
      </c>
    </row>
  </sheetData>
  <autoFilter ref="A1:H143" xr:uid="{591459A5-AB8F-4C70-AA74-E2C5166C49B6}"/>
  <mergeCells count="1">
    <mergeCell ref="A2:A143"/>
  </mergeCells>
  <phoneticPr fontId="2"/>
  <pageMargins left="0.23622047244094491" right="0.23622047244094491" top="0.74803149606299213" bottom="0.74803149606299213" header="0.31496062992125984" footer="0.31496062992125984"/>
  <pageSetup paperSize="9" scale="80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211D74D6178BC4D9F9CB4682A845950" ma:contentTypeVersion="18" ma:contentTypeDescription="新しいドキュメントを作成します。" ma:contentTypeScope="" ma:versionID="8d26df43f56f36cf5d9f682e79b02c81">
  <xsd:schema xmlns:xsd="http://www.w3.org/2001/XMLSchema" xmlns:xs="http://www.w3.org/2001/XMLSchema" xmlns:p="http://schemas.microsoft.com/office/2006/metadata/properties" xmlns:ns2="16f3ea39-9308-4011-b282-348b837af518" xmlns:ns3="aa648ee9-af07-4ee7-a823-cd9c24dceb19" targetNamespace="http://schemas.microsoft.com/office/2006/metadata/properties" ma:root="true" ma:fieldsID="60c97e2d671f7e47639d7875925031ec" ns2:_="" ns3:_="">
    <xsd:import namespace="16f3ea39-9308-4011-b282-348b837af518"/>
    <xsd:import namespace="aa648ee9-af07-4ee7-a823-cd9c24dceb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3ea39-9308-4011-b282-348b837af5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76b0035-ac4f-4a97-8b54-e26c3aecd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48ee9-af07-4ee7-a823-cd9c24dceb1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b1d859-cf19-4180-8877-d9457353441a}" ma:internalName="TaxCatchAll" ma:showField="CatchAllData" ma:web="aa648ee9-af07-4ee7-a823-cd9c24dceb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f3ea39-9308-4011-b282-348b837af518">
      <Terms xmlns="http://schemas.microsoft.com/office/infopath/2007/PartnerControls"/>
    </lcf76f155ced4ddcb4097134ff3c332f>
    <TaxCatchAll xmlns="aa648ee9-af07-4ee7-a823-cd9c24dceb19" xsi:nil="true"/>
  </documentManagement>
</p:properties>
</file>

<file path=customXml/itemProps1.xml><?xml version="1.0" encoding="utf-8"?>
<ds:datastoreItem xmlns:ds="http://schemas.openxmlformats.org/officeDocument/2006/customXml" ds:itemID="{9880F900-7D1D-49D1-A888-95013BB9F9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6D98F8-8938-4C1F-BD65-F20C948ECA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3ea39-9308-4011-b282-348b837af518"/>
    <ds:schemaRef ds:uri="aa648ee9-af07-4ee7-a823-cd9c24dceb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8CE7A8-BC7D-450E-AA9F-3C998193740F}">
  <ds:schemaRefs>
    <ds:schemaRef ds:uri="http://schemas.microsoft.com/office/2006/metadata/properties"/>
    <ds:schemaRef ds:uri="http://schemas.microsoft.com/office/infopath/2007/PartnerControls"/>
    <ds:schemaRef ds:uri="16f3ea39-9308-4011-b282-348b837af518"/>
    <ds:schemaRef ds:uri="aa648ee9-af07-4ee7-a823-cd9c24dceb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L1</vt:lpstr>
      <vt:lpstr>L2</vt:lpstr>
      <vt:lpstr>L3 </vt:lpstr>
      <vt:lpstr>L4 </vt:lpstr>
      <vt:lpstr>L5 </vt:lpstr>
      <vt:lpstr>L6 </vt:lpstr>
      <vt:lpstr>L7 </vt:lpstr>
      <vt:lpstr>L8 </vt:lpstr>
      <vt:lpstr>L9 </vt:lpstr>
      <vt:lpstr>L10 </vt:lpstr>
      <vt:lpstr>'L1'!Print_Area</vt:lpstr>
      <vt:lpstr>'L10 '!Print_Area</vt:lpstr>
      <vt:lpstr>'L3 '!Print_Area</vt:lpstr>
      <vt:lpstr>'L4 '!Print_Area</vt:lpstr>
      <vt:lpstr>'L6 '!Print_Area</vt:lpstr>
      <vt:lpstr>'L7 '!Print_Area</vt:lpstr>
      <vt:lpstr>'L8 '!Print_Area</vt:lpstr>
      <vt:lpstr>'L9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ichikawa</dc:creator>
  <cp:keywords/>
  <dc:description/>
  <cp:lastModifiedBy>ichikawa</cp:lastModifiedBy>
  <cp:revision/>
  <cp:lastPrinted>2023-04-25T03:01:40Z</cp:lastPrinted>
  <dcterms:created xsi:type="dcterms:W3CDTF">2023-02-09T02:06:52Z</dcterms:created>
  <dcterms:modified xsi:type="dcterms:W3CDTF">2023-04-25T03:02:10Z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0x010100C211D74D6178BC4D9F9CB4682A845950</vt:lpwstr>
  </property>
</Properties>
</file>